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asa\Desktop\"/>
    </mc:Choice>
  </mc:AlternateContent>
  <xr:revisionPtr revIDLastSave="0" documentId="8_{606DDE4C-33C5-4C18-AC7F-2F81EE720223}" xr6:coauthVersionLast="47" xr6:coauthVersionMax="47" xr10:uidLastSave="{00000000-0000-0000-0000-000000000000}"/>
  <bookViews>
    <workbookView xWindow="-108" yWindow="-108" windowWidth="23256" windowHeight="12456" xr2:uid="{5CA7443E-1ECD-46B2-A2B9-D99780B83705}"/>
  </bookViews>
  <sheets>
    <sheet name="KLIMT E DODF -ANEXO I" sheetId="1" r:id="rId1"/>
    <sheet name=" RESUMO - ANEXO II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3" i="1" l="1"/>
  <c r="M11" i="1"/>
  <c r="M25" i="1"/>
  <c r="Q46" i="1"/>
  <c r="K73" i="1"/>
  <c r="M71" i="1"/>
  <c r="M70" i="1"/>
  <c r="M69" i="1"/>
  <c r="M68" i="1"/>
  <c r="M67" i="1"/>
  <c r="M66" i="1"/>
  <c r="M65" i="1"/>
  <c r="M64" i="1"/>
  <c r="M63" i="1"/>
  <c r="M62" i="1"/>
  <c r="M61" i="1"/>
  <c r="M58" i="1"/>
  <c r="M60" i="1"/>
  <c r="M59" i="1"/>
  <c r="M56" i="1"/>
  <c r="M57" i="1"/>
  <c r="M55" i="1"/>
  <c r="M54" i="1"/>
  <c r="M53" i="1"/>
  <c r="M51" i="1"/>
  <c r="O71" i="1"/>
  <c r="O70" i="1"/>
  <c r="M52" i="1"/>
  <c r="M50" i="1"/>
  <c r="M49" i="1"/>
  <c r="M47" i="1"/>
  <c r="M46" i="1"/>
  <c r="M45" i="1"/>
  <c r="M44" i="1"/>
  <c r="M48" i="1"/>
  <c r="M43" i="1"/>
  <c r="M41" i="1"/>
  <c r="M42" i="1"/>
  <c r="M72" i="1"/>
  <c r="M26" i="1"/>
  <c r="O26" i="1"/>
  <c r="M30" i="1"/>
  <c r="O30" i="1"/>
  <c r="M31" i="1"/>
  <c r="O31" i="1"/>
  <c r="M32" i="1"/>
  <c r="O32" i="1"/>
  <c r="M37" i="1"/>
  <c r="M36" i="1"/>
  <c r="O36" i="1"/>
  <c r="M35" i="1"/>
  <c r="M34" i="1"/>
  <c r="M33" i="1"/>
  <c r="M29" i="1"/>
  <c r="M28" i="1"/>
  <c r="M27" i="1"/>
  <c r="O27" i="1"/>
  <c r="O40" i="1"/>
  <c r="O28" i="1"/>
  <c r="O39" i="1"/>
  <c r="M24" i="1"/>
  <c r="M23" i="1"/>
  <c r="M22" i="1"/>
  <c r="M38" i="1"/>
  <c r="M39" i="1"/>
  <c r="M4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72" i="1"/>
  <c r="O37" i="1"/>
  <c r="O35" i="1"/>
  <c r="O34" i="1"/>
  <c r="O33" i="1"/>
  <c r="O29" i="1"/>
  <c r="O25" i="1"/>
  <c r="O24" i="1"/>
  <c r="O23" i="1"/>
  <c r="O22" i="1"/>
  <c r="O38" i="1"/>
  <c r="Q39" i="1" s="1"/>
  <c r="O21" i="1"/>
  <c r="M21" i="1"/>
  <c r="O20" i="1"/>
  <c r="M20" i="1"/>
  <c r="M19" i="1"/>
  <c r="O18" i="1"/>
  <c r="M18" i="1"/>
  <c r="M12" i="1"/>
  <c r="M13" i="1"/>
  <c r="M17" i="1"/>
  <c r="M14" i="1"/>
  <c r="M16" i="1"/>
  <c r="O15" i="1"/>
  <c r="M15" i="1"/>
  <c r="M10" i="1"/>
  <c r="O8" i="1"/>
  <c r="M8" i="1"/>
  <c r="M9" i="1"/>
  <c r="O7" i="1"/>
  <c r="O6" i="1"/>
  <c r="O12" i="1"/>
  <c r="O13" i="1"/>
  <c r="O17" i="1"/>
  <c r="O14" i="1"/>
  <c r="O16" i="1"/>
  <c r="O11" i="1"/>
  <c r="O10" i="1"/>
  <c r="O9" i="1"/>
  <c r="M7" i="1"/>
  <c r="M6" i="1"/>
  <c r="J73" i="1"/>
  <c r="L73" i="1"/>
  <c r="D91" i="1"/>
  <c r="E91" i="1"/>
  <c r="C91" i="1"/>
  <c r="J81" i="1"/>
  <c r="O79" i="1"/>
  <c r="E90" i="1"/>
  <c r="D90" i="1"/>
  <c r="O19" i="1" l="1"/>
  <c r="O73" i="1" s="1"/>
  <c r="N73" i="1"/>
  <c r="E93" i="1"/>
  <c r="D93" i="1"/>
  <c r="C93" i="1"/>
  <c r="F93" i="1" l="1"/>
  <c r="F92" i="1"/>
  <c r="F91" i="1"/>
  <c r="F90" i="1"/>
  <c r="F89" i="1"/>
  <c r="F88" i="1"/>
  <c r="F87" i="1"/>
  <c r="F86" i="1"/>
  <c r="F12" i="3"/>
  <c r="E12" i="3"/>
  <c r="C12" i="3"/>
  <c r="F11" i="3"/>
  <c r="F10" i="3"/>
  <c r="F9" i="3"/>
  <c r="F8" i="3"/>
  <c r="F7" i="3"/>
  <c r="F6" i="3"/>
  <c r="F5" i="3"/>
  <c r="O80" i="1"/>
  <c r="O78" i="1"/>
  <c r="O81" i="1" s="1"/>
</calcChain>
</file>

<file path=xl/sharedStrings.xml><?xml version="1.0" encoding="utf-8"?>
<sst xmlns="http://schemas.openxmlformats.org/spreadsheetml/2006/main" count="525" uniqueCount="236">
  <si>
    <t>ANEXO I</t>
  </si>
  <si>
    <t>1. DEMONSTRATIVO DE GASTOS COM PUBLICIDADE E PROPAGANDA - QUARTO TRIMESTRE 2025</t>
  </si>
  <si>
    <t xml:space="preserve">1.1 Contrato nº:  03/2025
</t>
  </si>
  <si>
    <t>1.1.1 AGÊNCIA: KLIMT AGÊNCIA DE PUBLICIDADE, CNPJ: 10.365.754/0001-07</t>
  </si>
  <si>
    <t>FINALIDADE</t>
  </si>
  <si>
    <t>CAMPANHA</t>
  </si>
  <si>
    <t>VEÍCULO</t>
  </si>
  <si>
    <t>PERÍODO DE EXECUÇÃO</t>
  </si>
  <si>
    <t>SUBCONTRATADO</t>
  </si>
  <si>
    <t>CNPJ</t>
  </si>
  <si>
    <t>NF AGÊNCIA</t>
  </si>
  <si>
    <t>DT EMISSÃO</t>
  </si>
  <si>
    <t>VEICULAÇÃO (a)</t>
  </si>
  <si>
    <t>PRODUÇÃO (b)</t>
  </si>
  <si>
    <t>GLOSAS (c)</t>
  </si>
  <si>
    <t>TRIBUTOS (d)</t>
  </si>
  <si>
    <t>COMISSÃO DA AGÊNCIA (e)</t>
  </si>
  <si>
    <t>TOTAL DESPESA (a+b-c+e)</t>
  </si>
  <si>
    <t>UTILIDADE PUBLICA</t>
  </si>
  <si>
    <t>Produção de Vídeo “21 Anos Adasa”</t>
  </si>
  <si>
    <t xml:space="preserve"> CENTELHA COMUNICACAO LTDA</t>
  </si>
  <si>
    <t>40.518.356/0001-36_x000D_</t>
  </si>
  <si>
    <t xml:space="preserve"> -   </t>
  </si>
  <si>
    <t>Produção de Videocase Lago Limpo</t>
  </si>
  <si>
    <t xml:space="preserve"> MOLIVE PRODUCOES AUDIOVISUAIS LTDA</t>
  </si>
  <si>
    <t>39.226.435/0001-94</t>
  </si>
  <si>
    <t>Veiculação Telas elevadores residenciais e lotericas- Conforme PI: 1148</t>
  </si>
  <si>
    <t>18 a 24/08/2025</t>
  </si>
  <si>
    <t>IMPERIO MIDIA E PUBLICIDADE LTDA</t>
  </si>
  <si>
    <t>32.780.682/0001-99</t>
  </si>
  <si>
    <t>Veiculação Impulsionamento mídias sociais - Setembro - Conforme PI: 1268</t>
  </si>
  <si>
    <t>22/09 a 03/10/2025</t>
  </si>
  <si>
    <t>WAYS DIGITAL AGENCIA DE MARKETING LTDA</t>
  </si>
  <si>
    <t>47.436.058/0001-46</t>
  </si>
  <si>
    <t>Veiculação Rádio Metrópoles - testemunhal - Os cabeças da notícia - Conforme PI: 1283</t>
  </si>
  <si>
    <t>CERRADO MIX COMUNICACAO E PRODUCAO LTDA</t>
  </si>
  <si>
    <t>02.311.600/0001-04</t>
  </si>
  <si>
    <t>Evento Lago Limpo - Adasa</t>
  </si>
  <si>
    <t>PRODUÇÃO</t>
  </si>
  <si>
    <t>KLIMT - AGENCIA DE PUBLICIDADE LTDA</t>
  </si>
  <si>
    <t>10.365.754/0001-07</t>
  </si>
  <si>
    <t>INSTITUCIONAL</t>
  </si>
  <si>
    <t>AVISO DE ABERTURA DE LICITAÇÃO - PREGÃO ELETRÔNICO Nº 1/2025</t>
  </si>
  <si>
    <t>EDITORA JORNAL DE BRASILIA LTDA</t>
  </si>
  <si>
    <t>08.337.317/0001-20</t>
  </si>
  <si>
    <t>AVISO DE ABERTURA DE LICITAÇÃO - PREGÃO ELETRÔNICO Nº 4/2025</t>
  </si>
  <si>
    <t>AVISO DE ABERTURA DE LICITAÇÃO - PREGÃO ELETRÔNICO Nº 5/2025</t>
  </si>
  <si>
    <t>AVISO DE ABERTURA DE LICITAÇÃO - PREGÃO ELETRÔNICO Nº 7/2025</t>
  </si>
  <si>
    <t>AVISO DE AUDIÊNCIA PÚBLICA N° 004/2025</t>
  </si>
  <si>
    <t>AVISO DE AUDIÊNCIA PÚBLICA Nº 003/2025</t>
  </si>
  <si>
    <t>Produção de Spot 30s</t>
  </si>
  <si>
    <t xml:space="preserve"> BG PRODUCAO, COMUNICACAO, LOCACAO DE EQUIPAMENTOS E MARKETING LTDA</t>
  </si>
  <si>
    <t>35.421.036/0001-23</t>
  </si>
  <si>
    <t>Produção de Filipeta_x000D_</t>
  </si>
  <si>
    <t>ELISON DA CONCEICAO ANTUNES MENEZES</t>
  </si>
  <si>
    <t>40.566.417/0001-30</t>
  </si>
  <si>
    <t>Veiculação Impulsionamento Adasa Drenagem Urbana - Conforme PI: 1413</t>
  </si>
  <si>
    <t>05/11 a 14/11/2025</t>
  </si>
  <si>
    <t>PUBLICIDADE</t>
  </si>
  <si>
    <t xml:space="preserve"> PRODUÇÃO</t>
  </si>
  <si>
    <t>KLIMT AGENCIA DE PUBLICIDADE LTDA</t>
  </si>
  <si>
    <t>Produção de Spot 30s - Drenagem 2025</t>
  </si>
  <si>
    <t>BLACK DOG ESTUDIOS E PRODUTORA LTDA</t>
  </si>
  <si>
    <t>41.789.434/0001-08</t>
  </si>
  <si>
    <t>Produção de Vídeo 60s Drenagem 2025</t>
  </si>
  <si>
    <t>Produção de Vídeo Motion</t>
  </si>
  <si>
    <t xml:space="preserve"> FERNANDA COSTA ALVES</t>
  </si>
  <si>
    <t>63.626.817/0001-90</t>
  </si>
  <si>
    <t>Produção de Reels</t>
  </si>
  <si>
    <t>SAYMON WILLIAMS RODRIGUES SIMOES FARIAS</t>
  </si>
  <si>
    <t>63.877.637/0001-80</t>
  </si>
  <si>
    <t>Produção de Vídeo Stand Expoabar 2025</t>
  </si>
  <si>
    <t>Taxi Produção e comunicação LTDA - ME</t>
  </si>
  <si>
    <t>10.937.528/0001-45</t>
  </si>
  <si>
    <t>Veiculação Blog Brazil mulher - Conforme PI: 1452</t>
  </si>
  <si>
    <t>19/11 a 22/11/2025</t>
  </si>
  <si>
    <t>BRAZIL MULHER PORTAL DE NOTICIAS, CURSOS E CAPACITACAO PROFISSIONAL LTDA_x000D_</t>
  </si>
  <si>
    <t>07.318.755/0001-88</t>
  </si>
  <si>
    <t xml:space="preserve"> Veiculação Blog do Callado - Conforme PI: 1449</t>
  </si>
  <si>
    <t>19/11 a 23/11/2025</t>
  </si>
  <si>
    <t>AGENCIA PALEAR - COMUNICACAO, PUBLICIDADE E CONSULTORIA LTDA</t>
  </si>
  <si>
    <t xml:space="preserve"> 08.406.032/0001-01</t>
  </si>
  <si>
    <t>Veiculação no Blog Espaço da Mulher - Conforme PI: 1451</t>
  </si>
  <si>
    <t xml:space="preserve"> A &amp; A NEVES COMUNICACAO EDITORA E GRAFICA LTDA</t>
  </si>
  <si>
    <t>37.978.269/0001-57</t>
  </si>
  <si>
    <t>Veiculacão Blog Olho News - Drenagem Urbana 2025 - Conforme PI: 1456</t>
  </si>
  <si>
    <t>24/11 a 27/11/2025</t>
  </si>
  <si>
    <t>Olho News Servicos de Comunicacao Ltda</t>
  </si>
  <si>
    <t>33.059.226/0001-17</t>
  </si>
  <si>
    <t>Veiculação no Blog Bomba Bomba - Conforme PI: 1450</t>
  </si>
  <si>
    <t xml:space="preserve"> ATIVAMENTE ACOMPANHAMENTO E SERVICOS LTDA</t>
  </si>
  <si>
    <t>12.394.932/0001-45</t>
  </si>
  <si>
    <t>Veiculação Blog Folha do Meio Ambiente- Drenagem 2025 - Conforme PI: 1442_x000D_</t>
  </si>
  <si>
    <t>18/11 a 21/11/2025</t>
  </si>
  <si>
    <t>FOLHA DO MEIO AMBIENTE - CULTURA VIVA, EDITORA LTDA</t>
  </si>
  <si>
    <t>33.515.438/0001-61</t>
  </si>
  <si>
    <t>Veiculação Rádio metropoles Testemunhal - Programa Os cabeças da Notícia - Conforme PI: 1473</t>
  </si>
  <si>
    <t>14/11 a 28/11/2025</t>
  </si>
  <si>
    <t xml:space="preserve"> Cerrado Mix Comunicacao e Producao LTDA</t>
  </si>
  <si>
    <t>Veiculação impulsionamento redes sociais / mídias sociais - Drenagem Urbana - Conforme PI: 1477</t>
  </si>
  <si>
    <t>28/11 a 04/12/2025</t>
  </si>
  <si>
    <t xml:space="preserve"> WAYS DIGITAL AGENCIA DE MARKETING LTDA</t>
  </si>
  <si>
    <t>Veiculação impulsionamento Reels - Expo abar - Conforme PI: 1477</t>
  </si>
  <si>
    <t>28/11 a 03/12/2025</t>
  </si>
  <si>
    <t>Campanha Adasa</t>
  </si>
  <si>
    <t>Veiculação Site Dia da Notícia - Drenagem Urbana 2025 - Conforme PI: 1443_x000D_</t>
  </si>
  <si>
    <t xml:space="preserve"> DIA DA NOTICIA COMUNICACAO ON LINE LTDA</t>
  </si>
  <si>
    <t xml:space="preserve"> 06.189.522/0001-60</t>
  </si>
  <si>
    <t>AVISO DE ABERTURA DE LICITAÇÃO - PREGAO ELETRONICO Nº 009/2025</t>
  </si>
  <si>
    <t>AVISO DE AUDIÊNCIA PÚBLICA Nº 005/2025</t>
  </si>
  <si>
    <t>AVISO DE REABERTURA DE LICITAÇÃO - PREGAO ELETRONICO Nº 01/2025</t>
  </si>
  <si>
    <t>RÁDIO BANDNEWS - DEZEMBRO - Conforme PI: 1510</t>
  </si>
  <si>
    <t>08/12 a 12/12/2025</t>
  </si>
  <si>
    <t>ASA BRANCA RADIODIFUSÃO LTDA</t>
  </si>
  <si>
    <t>02.388.498/0001-37</t>
  </si>
  <si>
    <t xml:space="preserve">  -    </t>
  </si>
  <si>
    <t>RÁDIO METRÓPOLES - DEZEMBRO - Conforme PI: 1518</t>
  </si>
  <si>
    <t>08/12 a 11/12/2025</t>
  </si>
  <si>
    <t>CERRADO MIX COMUNICACAO E PRODUCAO</t>
  </si>
  <si>
    <t>Veiculação Rádio Nova Brasil - Drenagem Urbana 2025 - Conforme PI: 1414</t>
  </si>
  <si>
    <t>06/11 a 12/11/2025</t>
  </si>
  <si>
    <t>THATHI NOVABRASIL LTDA</t>
  </si>
  <si>
    <t>49.403.371/0001-03</t>
  </si>
  <si>
    <t>Veiculação impulsionamento redes sociais - Drenagem Urbana - Conforme PI: 1516</t>
  </si>
  <si>
    <t>04/12 a 11/12/2025</t>
  </si>
  <si>
    <t>47.436.058/0001-46_x000D_</t>
  </si>
  <si>
    <t>VEICULAÇÃO PORTAL FOLHA DO MEIO AMBIENTE - Conforme PI: 1483</t>
  </si>
  <si>
    <t>02/12 a 07/12/2025</t>
  </si>
  <si>
    <t xml:space="preserve"> FOLHA DO MEIO AMBIENTE CULTURA VIVA EDITORA LTDA</t>
  </si>
  <si>
    <t xml:space="preserve"> Veiculação no Blog Dia da Notícia - Conforme PI: 1484</t>
  </si>
  <si>
    <t>Veiculação no Blog Olho News - Conforme PI: 1485</t>
  </si>
  <si>
    <t xml:space="preserve"> OLHO NEWS SERVICOS DE COMUNICACAO LTDA</t>
  </si>
  <si>
    <t xml:space="preserve"> 33.059.226/0001-17</t>
  </si>
  <si>
    <t>Veiculação no Blog do Callado - Conforme PI: 1486</t>
  </si>
  <si>
    <t>04/12 a 07/12/2025</t>
  </si>
  <si>
    <t>08.406.032/0001-01</t>
  </si>
  <si>
    <t>Veiculação no Blog EGNEWS - Conforme PI: 1488</t>
  </si>
  <si>
    <t>EG NEWS LTDA</t>
  </si>
  <si>
    <t xml:space="preserve"> 04.058.259/0001-44_x000D_</t>
  </si>
  <si>
    <t xml:space="preserve"> VEICULAÇÃO BLOG TUDO OK NOTÍCIAS - Conforme PI: 1490</t>
  </si>
  <si>
    <t>JOSIEL FERREIRA COMUNICACOES</t>
  </si>
  <si>
    <t>11.245.114/0001-18_x000D_</t>
  </si>
  <si>
    <t>Veiculação no Blog do Pá - Conforme PI: 1491</t>
  </si>
  <si>
    <t>JOANEMARIA A PEREIRA</t>
  </si>
  <si>
    <t>37.347.658/0001-84</t>
  </si>
  <si>
    <t>VEICULAÇÃO BLOG BSB TIMES- DEZEMBRO - Conforme PI: 1493</t>
  </si>
  <si>
    <t>ROGERIO CIRINO PRODUCOES ARTISTICAS LTDA_x000D_</t>
  </si>
  <si>
    <t>24.397.463/0001-05</t>
  </si>
  <si>
    <t>Veiculação Blog do Ataíde - Conforme PI: 1495</t>
  </si>
  <si>
    <t>A. A. DOS SANTOS PUBLICIDADE MARKETING E NOTICIAS</t>
  </si>
  <si>
    <t>15.434.320/0001-27_x000D_</t>
  </si>
  <si>
    <t>VEICULAÇÃO ADASA - BLOG LEI &amp; POLÍTICA - DEZEMBRO - Conforme PI: 1511</t>
  </si>
  <si>
    <t>C M CHAVES INFORMATICA</t>
  </si>
  <si>
    <t>01.996.483/0001-99</t>
  </si>
  <si>
    <t>VEICULAÇÃO BLOG POR BRASÍLIA - DEZEMBRO - Conforme PI: 1512_x000D_</t>
  </si>
  <si>
    <t xml:space="preserve"> INOVAR SERVICOS DE INFORMACAO LTDA_x000D_</t>
  </si>
  <si>
    <t>09.178.647/0001-8</t>
  </si>
  <si>
    <t>VEICULAÇÃO BLOG PAINEL DA CIDADANIA - DEZEMBRO - Conforme PI: 1513</t>
  </si>
  <si>
    <t>PLANETA DIARIO PORTAL DE NOTICIAS LTDA</t>
  </si>
  <si>
    <t>40.750.576/0001-90</t>
  </si>
  <si>
    <t>VEICULAÇÃO - BLOG VISITE BRASÍLIA - DEZEMBRO - Conforme PI: 1514</t>
  </si>
  <si>
    <t xml:space="preserve"> LUIZ EDUARDO PASSEADO BARBOSA SERVICOS ADMINISTRATIVOS, TURISMO E EVENTOS</t>
  </si>
  <si>
    <t>07.109.194/0001-07_x000D_</t>
  </si>
  <si>
    <t>VEICULAÇÃO ADASA - BLOG GAZETA DO DF - DEZEMRO - Conforme PI: 1517</t>
  </si>
  <si>
    <t>GAZETA DO DIA PORTAL DE NOTICIAS DE BRASILIA LTDA_x000D_</t>
  </si>
  <si>
    <t>40.682.566/0001-65</t>
  </si>
  <si>
    <t>Post simples/ Stories/ Anúncio Redes Sociais (jpg/gifs + texto)</t>
  </si>
  <si>
    <t>10.365.754/0001-07_x000D_</t>
  </si>
  <si>
    <t>VEICULAÇÃO BLOG JORNAL DO PLANALTO - Conforme PI: 1482</t>
  </si>
  <si>
    <t>03/12 a 07/12/2025</t>
  </si>
  <si>
    <t>S.M.2 SERVICOS DE DIVULGACAO LTDA</t>
  </si>
  <si>
    <t>04.741.059/0001-91</t>
  </si>
  <si>
    <t>VEICULAÇÃO REVISTA PLANO B - DEZ/JAN - Conforme PI: 1487</t>
  </si>
  <si>
    <t xml:space="preserve"> REVISTA PLANO B LTDA</t>
  </si>
  <si>
    <t xml:space="preserve"> 48.876.804/0001-85</t>
  </si>
  <si>
    <t>VEICULAÇÃO BLOG FOGO CRUZADO DF - DEZEMBRO - Conforme PI: 1489</t>
  </si>
  <si>
    <t>ANA CLAUDIA MARTINS SANTOS</t>
  </si>
  <si>
    <t>17.726.908/0001-80</t>
  </si>
  <si>
    <t>VEICULAÇÃO BLOG MIRANTE SOCIAL - DEZEMBRO - Conforme PI: 1492</t>
  </si>
  <si>
    <t>GENIUS COMUNICACAO E MARKETING LTDA</t>
  </si>
  <si>
    <t>39.354.609/0001-02</t>
  </si>
  <si>
    <t>VEICULAÇÃO ADASA - BLOG JORNAL DO GUARÁ 1 - DEZEMBRO - Conforme PI: 1494</t>
  </si>
  <si>
    <t>MARIA COMUNICACAO E TURISMO LTDA_x000D_</t>
  </si>
  <si>
    <t xml:space="preserve"> 72.590.763/0001-40_x000D_</t>
  </si>
  <si>
    <t>VEICULAÇÃO BLOG SAÚDE E DIREITOS NACIONAIS - DEZEMBRO - Conforme PI: 1496</t>
  </si>
  <si>
    <t xml:space="preserve"> PROVEDOR DE NOTICIAS SAUDE E DIREITOS SOCIAIS LTDA</t>
  </si>
  <si>
    <t>22.969.066/0001-27</t>
  </si>
  <si>
    <t>Veiculação BLOG SITE FOLHA EVANGÉLICA - Conforme PI: 1526</t>
  </si>
  <si>
    <t>09/12 a 12/12/2025</t>
  </si>
  <si>
    <t>Aparecida Frausino Chaves - Folha Evangelica Publicidade</t>
  </si>
  <si>
    <t>10.866.360/0001-24</t>
  </si>
  <si>
    <t>Veiculação Blog do Emicles - Conforme PI: 1527</t>
  </si>
  <si>
    <t>SOBRADINHO NOTICIAS LTDA</t>
  </si>
  <si>
    <t xml:space="preserve"> 37.104.866/0001-52</t>
  </si>
  <si>
    <t>VEICULAÇÃO PORTAL DE INFORMAÇÃO - Conforme PI: 1531</t>
  </si>
  <si>
    <t>12/12 a 15/12/2025</t>
  </si>
  <si>
    <t xml:space="preserve"> PORTAL DE INFORMACAO - OLHAR DIGITAL LTDA</t>
  </si>
  <si>
    <t xml:space="preserve"> 30.856.625/0001-10</t>
  </si>
  <si>
    <t>VEICULAÇAO PORTAL É DI BRASÍLIA - Conforme PI: 1532</t>
  </si>
  <si>
    <t>E DI BRASILIA COMUNICACAO LTDA</t>
  </si>
  <si>
    <t>35.825.568/0001-26</t>
  </si>
  <si>
    <t>Blog Olho News - Institucional - Conforme PI: 1533</t>
  </si>
  <si>
    <t>OLHO NEWS SERVICOS DE COMUNICACAO LTDA</t>
  </si>
  <si>
    <t>Veiculação Blog do Foco Nacional - Conforme PI: 1497</t>
  </si>
  <si>
    <t xml:space="preserve"> INOVA GESTAO - CONSULTORIA E COMUNICACAO LTDA</t>
  </si>
  <si>
    <t>13.913.044/0001-54</t>
  </si>
  <si>
    <t>AVISO DE REABERTURA DE LICITAÇÃO - PREGAO ELETRONICO Nº 08/2025</t>
  </si>
  <si>
    <t xml:space="preserve"> EDITORA JORNAL DE BRASILIA LTDA</t>
  </si>
  <si>
    <t>8.337.317/0001-20</t>
  </si>
  <si>
    <t>1.2 Contrato nº 57/2015</t>
  </si>
  <si>
    <t xml:space="preserve"> </t>
  </si>
  <si>
    <t>1.2.1 CONTRATADO: Secretaria de Estado da Casa Civil-  CNPJ 09.639.459/0001-05</t>
  </si>
  <si>
    <t>Publicidade legal</t>
  </si>
  <si>
    <t>DODF</t>
  </si>
  <si>
    <t>NÃO</t>
  </si>
  <si>
    <t>Publicidade Legal</t>
  </si>
  <si>
    <t>TOTAL</t>
  </si>
  <si>
    <t>ANEXO II</t>
  </si>
  <si>
    <t>2. RESUMO GERAL - SALDOS E DESPESAS COM PUBLICIDADE LIQUIDADAS no 4º TRIMESTRE DE 2025</t>
  </si>
  <si>
    <t>RESUMO GERAL</t>
  </si>
  <si>
    <t>Publicidade Institucional</t>
  </si>
  <si>
    <t>Publicidade de Utilidade Pública</t>
  </si>
  <si>
    <t>1. Dotação Orçamentária  Autorizada (2025)</t>
  </si>
  <si>
    <t>2. Empenhado (até o trimeste)</t>
  </si>
  <si>
    <t>3a. Liquidado (no trimestre)</t>
  </si>
  <si>
    <t>3b. Liquidado acumulado</t>
  </si>
  <si>
    <t>4. Crédito Orç. Disponível (2024)</t>
  </si>
  <si>
    <t>5. Saldo de empenho 2025</t>
  </si>
  <si>
    <t>6. Restos à Pagar RP(2024) acumulado</t>
  </si>
  <si>
    <t>7. Total liquidado 2025 com RP (2024)</t>
  </si>
  <si>
    <t>2. RESUMO GERAL - SALDOS E DESPESAS COM PUBLICIDADE LIQUIDADAS no 1º TRIMESTRE DE 2021</t>
  </si>
  <si>
    <t>1. Dotação Orçamentária (2020)</t>
  </si>
  <si>
    <t>4. Crédito Orç. Disponível (2020)</t>
  </si>
  <si>
    <t>5. Saldo de empenho 2020</t>
  </si>
  <si>
    <t>6. Restos à Pagar RP(2019) acumulado</t>
  </si>
  <si>
    <t>7. Total liquidado 2020 com RP (2019)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</si>
</sst>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sz val="8"/>
      <color rgb="FF000000"/>
      <name val="Calibri"/>
      <family val="2"/>
    </font>
    <font>
      <sz val="8"/>
      <name val="Calibri"/>
      <family val="2"/>
      <scheme val="minor"/>
    </font>
    <font>
      <sz val="8"/>
      <name val="Calibri"/>
      <family val="2"/>
    </font>
    <font>
      <sz val="11"/>
      <color rgb="FFFF0000"/>
      <name val="Calibri"/>
      <family val="2"/>
      <scheme val="minor"/>
    </font>
    <font>
      <sz val="8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 applyAlignment="1">
      <alignment horizontal="justify" vertical="center" wrapText="1"/>
    </xf>
    <xf numFmtId="0" fontId="0" fillId="0" borderId="0" xfId="0" applyAlignment="1">
      <alignment horizontal="left"/>
    </xf>
    <xf numFmtId="43" fontId="0" fillId="0" borderId="0" xfId="0" applyNumberFormat="1"/>
    <xf numFmtId="4" fontId="0" fillId="0" borderId="0" xfId="0" applyNumberFormat="1"/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justify" vertical="center" wrapText="1"/>
    </xf>
    <xf numFmtId="43" fontId="4" fillId="0" borderId="1" xfId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0" borderId="0" xfId="0" applyFont="1"/>
    <xf numFmtId="43" fontId="4" fillId="0" borderId="1" xfId="0" applyNumberFormat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wrapText="1"/>
    </xf>
    <xf numFmtId="4" fontId="4" fillId="0" borderId="1" xfId="0" applyNumberFormat="1" applyFont="1" applyBorder="1" applyAlignment="1">
      <alignment horizontal="right" wrapText="1"/>
    </xf>
    <xf numFmtId="4" fontId="4" fillId="0" borderId="1" xfId="0" applyNumberFormat="1" applyFont="1" applyBorder="1" applyAlignment="1">
      <alignment horizontal="justify" wrapText="1"/>
    </xf>
    <xf numFmtId="0" fontId="4" fillId="0" borderId="2" xfId="0" applyFont="1" applyBorder="1" applyAlignment="1">
      <alignment horizontal="justify" wrapText="1"/>
    </xf>
    <xf numFmtId="0" fontId="6" fillId="0" borderId="2" xfId="0" applyFont="1" applyBorder="1" applyAlignment="1">
      <alignment horizontal="justify" wrapText="1"/>
    </xf>
    <xf numFmtId="4" fontId="6" fillId="0" borderId="2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17" fontId="4" fillId="0" borderId="1" xfId="0" applyNumberFormat="1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3" fillId="0" borderId="0" xfId="0" applyFont="1"/>
    <xf numFmtId="43" fontId="8" fillId="3" borderId="1" xfId="0" applyNumberFormat="1" applyFont="1" applyFill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4" fontId="4" fillId="0" borderId="1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4" fontId="8" fillId="3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43" fontId="8" fillId="2" borderId="1" xfId="0" applyNumberFormat="1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43" fontId="4" fillId="2" borderId="1" xfId="0" applyNumberFormat="1" applyFont="1" applyFill="1" applyBorder="1" applyAlignment="1">
      <alignment horizontal="right" vertical="center" wrapText="1"/>
    </xf>
    <xf numFmtId="43" fontId="0" fillId="0" borderId="0" xfId="0" applyNumberFormat="1" applyAlignment="1">
      <alignment horizontal="right"/>
    </xf>
    <xf numFmtId="0" fontId="9" fillId="0" borderId="2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wrapText="1"/>
    </xf>
    <xf numFmtId="0" fontId="6" fillId="0" borderId="2" xfId="0" applyFont="1" applyBorder="1" applyAlignment="1">
      <alignment horizontal="right" wrapText="1"/>
    </xf>
    <xf numFmtId="43" fontId="4" fillId="2" borderId="1" xfId="0" applyNumberFormat="1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43" fontId="4" fillId="0" borderId="1" xfId="0" applyNumberFormat="1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43" fontId="7" fillId="0" borderId="0" xfId="0" applyNumberFormat="1" applyFont="1" applyAlignment="1">
      <alignment vertical="center"/>
    </xf>
    <xf numFmtId="43" fontId="7" fillId="0" borderId="0" xfId="0" applyNumberFormat="1" applyFont="1" applyAlignment="1">
      <alignment horizontal="right" vertical="center"/>
    </xf>
    <xf numFmtId="43" fontId="7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43" fontId="7" fillId="0" borderId="1" xfId="0" applyNumberFormat="1" applyFont="1" applyBorder="1" applyAlignment="1">
      <alignment horizontal="right" vertical="center"/>
    </xf>
    <xf numFmtId="43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8" fillId="3" borderId="4" xfId="0" applyNumberFormat="1" applyFont="1" applyFill="1" applyBorder="1" applyAlignment="1">
      <alignment horizontal="right" vertical="center"/>
    </xf>
    <xf numFmtId="43" fontId="4" fillId="2" borderId="8" xfId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vertical="center"/>
    </xf>
    <xf numFmtId="14" fontId="14" fillId="0" borderId="7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B2C5C-E20C-4CE7-9239-D2A92CE47D25}">
  <sheetPr>
    <pageSetUpPr fitToPage="1"/>
  </sheetPr>
  <dimension ref="B1:R93"/>
  <sheetViews>
    <sheetView tabSelected="1" topLeftCell="A69" workbookViewId="0">
      <selection activeCell="O75" sqref="O75"/>
    </sheetView>
  </sheetViews>
  <sheetFormatPr defaultRowHeight="14.4" x14ac:dyDescent="0.3"/>
  <cols>
    <col min="1" max="1" width="4.88671875" customWidth="1"/>
    <col min="2" max="2" width="14.44140625" style="60" customWidth="1"/>
    <col min="3" max="3" width="14.33203125" style="60" customWidth="1"/>
    <col min="4" max="4" width="18" style="56" customWidth="1"/>
    <col min="5" max="5" width="14" style="2" customWidth="1"/>
    <col min="6" max="6" width="16.88671875" style="2" customWidth="1"/>
    <col min="7" max="7" width="15.44140625" style="32" customWidth="1"/>
    <col min="8" max="8" width="8.33203125" style="2" customWidth="1"/>
    <col min="9" max="9" width="9.44140625" style="2" customWidth="1"/>
    <col min="10" max="10" width="12.44140625" style="2" customWidth="1"/>
    <col min="11" max="11" width="11.44140625" style="2" customWidth="1"/>
    <col min="12" max="12" width="9" style="2" customWidth="1"/>
    <col min="13" max="13" width="10.44140625" customWidth="1"/>
    <col min="14" max="14" width="11.5546875" style="45" customWidth="1"/>
    <col min="15" max="15" width="12.33203125" style="2" customWidth="1"/>
    <col min="16" max="16" width="17.88671875" customWidth="1"/>
    <col min="17" max="17" width="21.5546875" customWidth="1"/>
    <col min="18" max="18" width="11.109375" customWidth="1"/>
    <col min="19" max="20" width="10.88671875" bestFit="1" customWidth="1"/>
    <col min="21" max="21" width="12.33203125" customWidth="1"/>
  </cols>
  <sheetData>
    <row r="1" spans="2:15" x14ac:dyDescent="0.3">
      <c r="B1" s="65" t="s">
        <v>0</v>
      </c>
    </row>
    <row r="2" spans="2:15" ht="60" customHeight="1" x14ac:dyDescent="0.3">
      <c r="B2" s="99" t="s">
        <v>1</v>
      </c>
      <c r="C2" s="99"/>
    </row>
    <row r="3" spans="2:15" ht="26.25" customHeight="1" x14ac:dyDescent="0.3">
      <c r="B3" s="43" t="s">
        <v>2</v>
      </c>
    </row>
    <row r="4" spans="2:15" ht="44.25" customHeight="1" x14ac:dyDescent="0.3">
      <c r="B4" s="100" t="s">
        <v>3</v>
      </c>
      <c r="C4" s="100"/>
    </row>
    <row r="5" spans="2:15" ht="36" customHeight="1" x14ac:dyDescent="0.3">
      <c r="B5" s="72" t="s">
        <v>4</v>
      </c>
      <c r="C5" s="72" t="s">
        <v>5</v>
      </c>
      <c r="D5" s="73" t="s">
        <v>6</v>
      </c>
      <c r="E5" s="72" t="s">
        <v>7</v>
      </c>
      <c r="F5" s="72" t="s">
        <v>8</v>
      </c>
      <c r="G5" s="72" t="s">
        <v>9</v>
      </c>
      <c r="H5" s="72" t="s">
        <v>10</v>
      </c>
      <c r="I5" s="72" t="s">
        <v>11</v>
      </c>
      <c r="J5" s="72" t="s">
        <v>12</v>
      </c>
      <c r="K5" s="72" t="s">
        <v>13</v>
      </c>
      <c r="L5" s="72" t="s">
        <v>14</v>
      </c>
      <c r="M5" s="72" t="s">
        <v>15</v>
      </c>
      <c r="N5" s="72" t="s">
        <v>16</v>
      </c>
      <c r="O5" s="87" t="s">
        <v>17</v>
      </c>
    </row>
    <row r="6" spans="2:15" ht="42" customHeight="1" x14ac:dyDescent="0.3">
      <c r="B6" s="12" t="s">
        <v>18</v>
      </c>
      <c r="C6" s="12" t="s">
        <v>18</v>
      </c>
      <c r="D6" s="88" t="s">
        <v>19</v>
      </c>
      <c r="E6" s="55">
        <v>45940</v>
      </c>
      <c r="F6" s="84" t="s">
        <v>20</v>
      </c>
      <c r="G6" s="84" t="s">
        <v>21</v>
      </c>
      <c r="H6" s="41">
        <v>1681</v>
      </c>
      <c r="I6" s="37">
        <v>45940</v>
      </c>
      <c r="J6" s="36">
        <v>0</v>
      </c>
      <c r="K6" s="95">
        <v>53110</v>
      </c>
      <c r="L6" s="46" t="s">
        <v>22</v>
      </c>
      <c r="M6" s="44">
        <f>0.27+0.25</f>
        <v>0.52</v>
      </c>
      <c r="N6" s="85">
        <v>5.31</v>
      </c>
      <c r="O6" s="28">
        <f>J6+K6+N6</f>
        <v>53115.31</v>
      </c>
    </row>
    <row r="7" spans="2:15" ht="41.25" customHeight="1" x14ac:dyDescent="0.3">
      <c r="B7" s="12" t="s">
        <v>18</v>
      </c>
      <c r="C7" s="26" t="s">
        <v>18</v>
      </c>
      <c r="D7" s="88" t="s">
        <v>23</v>
      </c>
      <c r="E7" s="55">
        <v>45940</v>
      </c>
      <c r="F7" s="84" t="s">
        <v>24</v>
      </c>
      <c r="G7" s="84" t="s">
        <v>25</v>
      </c>
      <c r="H7" s="12">
        <v>1682</v>
      </c>
      <c r="I7" s="37">
        <v>45940</v>
      </c>
      <c r="J7" s="36">
        <v>0</v>
      </c>
      <c r="K7" s="36">
        <v>24025.05</v>
      </c>
      <c r="L7" s="46" t="s">
        <v>22</v>
      </c>
      <c r="M7" s="44">
        <f>0.12+0.12</f>
        <v>0.24</v>
      </c>
      <c r="N7" s="86">
        <v>2.4</v>
      </c>
      <c r="O7" s="28">
        <f>J7+K7+N7</f>
        <v>24027.45</v>
      </c>
    </row>
    <row r="8" spans="2:15" ht="40.5" customHeight="1" x14ac:dyDescent="0.3">
      <c r="B8" s="12" t="s">
        <v>18</v>
      </c>
      <c r="C8" s="26" t="s">
        <v>18</v>
      </c>
      <c r="D8" s="88" t="s">
        <v>26</v>
      </c>
      <c r="E8" s="96" t="s">
        <v>27</v>
      </c>
      <c r="F8" s="84" t="s">
        <v>28</v>
      </c>
      <c r="G8" s="84" t="s">
        <v>29</v>
      </c>
      <c r="H8" s="12">
        <v>1683</v>
      </c>
      <c r="I8" s="37">
        <v>45940</v>
      </c>
      <c r="J8" s="38">
        <v>20580</v>
      </c>
      <c r="K8" s="38">
        <v>0</v>
      </c>
      <c r="L8" s="46" t="s">
        <v>22</v>
      </c>
      <c r="M8" s="83">
        <f>257.25+246.96+413.66</f>
        <v>917.87000000000012</v>
      </c>
      <c r="N8" s="83">
        <v>5145</v>
      </c>
      <c r="O8" s="28">
        <f t="shared" ref="O8" si="0">J8+K8+N8</f>
        <v>25725</v>
      </c>
    </row>
    <row r="9" spans="2:15" ht="47.25" customHeight="1" x14ac:dyDescent="0.3">
      <c r="B9" s="12" t="s">
        <v>18</v>
      </c>
      <c r="C9" s="26" t="s">
        <v>18</v>
      </c>
      <c r="D9" s="31" t="s">
        <v>30</v>
      </c>
      <c r="E9" s="97" t="s">
        <v>31</v>
      </c>
      <c r="F9" s="84" t="s">
        <v>32</v>
      </c>
      <c r="G9" s="84" t="s">
        <v>33</v>
      </c>
      <c r="H9" s="12">
        <v>1684</v>
      </c>
      <c r="I9" s="37">
        <v>45940</v>
      </c>
      <c r="J9" s="36">
        <v>104182.39999999999</v>
      </c>
      <c r="K9" s="36">
        <v>0</v>
      </c>
      <c r="L9" s="46" t="s">
        <v>22</v>
      </c>
      <c r="M9" s="91">
        <f>1302.28+1250.19+5209.12</f>
        <v>7761.59</v>
      </c>
      <c r="N9" s="92">
        <v>26045.599999999999</v>
      </c>
      <c r="O9" s="28">
        <f>J9+K9+N9</f>
        <v>130228</v>
      </c>
    </row>
    <row r="10" spans="2:15" ht="49.5" customHeight="1" x14ac:dyDescent="0.3">
      <c r="B10" s="12" t="s">
        <v>18</v>
      </c>
      <c r="C10" s="26" t="s">
        <v>18</v>
      </c>
      <c r="D10" s="31" t="s">
        <v>34</v>
      </c>
      <c r="E10" s="97" t="s">
        <v>31</v>
      </c>
      <c r="F10" s="84" t="s">
        <v>35</v>
      </c>
      <c r="G10" s="84" t="s">
        <v>36</v>
      </c>
      <c r="H10" s="12">
        <v>1685</v>
      </c>
      <c r="I10" s="89">
        <v>45940</v>
      </c>
      <c r="J10" s="38">
        <v>7432.32</v>
      </c>
      <c r="K10" s="38">
        <v>0</v>
      </c>
      <c r="L10" s="46" t="s">
        <v>22</v>
      </c>
      <c r="M10" s="44">
        <f>92.9+89.19</f>
        <v>182.09</v>
      </c>
      <c r="N10" s="90">
        <v>1858.08</v>
      </c>
      <c r="O10" s="28">
        <f t="shared" ref="O10:O17" si="1">J10+K10+N10</f>
        <v>9290.4</v>
      </c>
    </row>
    <row r="11" spans="2:15" ht="36" customHeight="1" x14ac:dyDescent="0.3">
      <c r="B11" s="12" t="s">
        <v>18</v>
      </c>
      <c r="C11" s="26" t="s">
        <v>37</v>
      </c>
      <c r="D11" s="31" t="s">
        <v>38</v>
      </c>
      <c r="E11" s="89">
        <v>45940</v>
      </c>
      <c r="F11" s="84" t="s">
        <v>39</v>
      </c>
      <c r="G11" s="84" t="s">
        <v>40</v>
      </c>
      <c r="H11" s="12">
        <v>1686</v>
      </c>
      <c r="I11" s="89">
        <v>45940</v>
      </c>
      <c r="J11" s="25">
        <v>0</v>
      </c>
      <c r="K11" s="38">
        <v>100355.15</v>
      </c>
      <c r="L11" s="46" t="s">
        <v>22</v>
      </c>
      <c r="M11" s="44">
        <f>5017.76+4817.05</f>
        <v>9834.8100000000013</v>
      </c>
      <c r="N11" s="44">
        <v>0</v>
      </c>
      <c r="O11" s="28">
        <f t="shared" si="1"/>
        <v>100355.15</v>
      </c>
    </row>
    <row r="12" spans="2:15" ht="47.25" customHeight="1" x14ac:dyDescent="0.3">
      <c r="B12" s="12" t="s">
        <v>41</v>
      </c>
      <c r="C12" s="74" t="s">
        <v>41</v>
      </c>
      <c r="D12" s="31" t="s">
        <v>42</v>
      </c>
      <c r="E12" s="96">
        <v>45877</v>
      </c>
      <c r="F12" s="84" t="s">
        <v>43</v>
      </c>
      <c r="G12" s="84" t="s">
        <v>44</v>
      </c>
      <c r="H12" s="27">
        <v>1754</v>
      </c>
      <c r="I12" s="89">
        <v>45954</v>
      </c>
      <c r="J12" s="38">
        <v>1458.69</v>
      </c>
      <c r="K12" s="38">
        <v>0</v>
      </c>
      <c r="L12" s="46" t="s">
        <v>22</v>
      </c>
      <c r="M12" s="24">
        <f t="shared" ref="M12:M17" si="2">18.23+17.5+70.02</f>
        <v>105.75</v>
      </c>
      <c r="N12" s="83">
        <v>364.67</v>
      </c>
      <c r="O12" s="28">
        <f>J12+K12+N12</f>
        <v>1823.3600000000001</v>
      </c>
    </row>
    <row r="13" spans="2:15" ht="48.75" customHeight="1" x14ac:dyDescent="0.3">
      <c r="B13" s="12" t="s">
        <v>41</v>
      </c>
      <c r="C13" s="74" t="s">
        <v>41</v>
      </c>
      <c r="D13" s="31" t="s">
        <v>45</v>
      </c>
      <c r="E13" s="96">
        <v>45891</v>
      </c>
      <c r="F13" s="84" t="s">
        <v>43</v>
      </c>
      <c r="G13" s="84" t="s">
        <v>44</v>
      </c>
      <c r="H13" s="27">
        <v>1755</v>
      </c>
      <c r="I13" s="89">
        <v>45954</v>
      </c>
      <c r="J13" s="38">
        <v>1458.69</v>
      </c>
      <c r="K13" s="38">
        <v>0</v>
      </c>
      <c r="L13" s="46" t="s">
        <v>22</v>
      </c>
      <c r="M13" s="24">
        <f t="shared" si="2"/>
        <v>105.75</v>
      </c>
      <c r="N13" s="83">
        <v>364.67</v>
      </c>
      <c r="O13" s="28">
        <f>J13+K13+N13</f>
        <v>1823.3600000000001</v>
      </c>
    </row>
    <row r="14" spans="2:15" ht="48.75" customHeight="1" x14ac:dyDescent="0.3">
      <c r="B14" s="12" t="s">
        <v>41</v>
      </c>
      <c r="C14" s="74" t="s">
        <v>41</v>
      </c>
      <c r="D14" s="31" t="s">
        <v>46</v>
      </c>
      <c r="E14" s="96">
        <v>45910</v>
      </c>
      <c r="F14" s="84" t="s">
        <v>43</v>
      </c>
      <c r="G14" s="84" t="s">
        <v>44</v>
      </c>
      <c r="H14" s="29">
        <v>1756</v>
      </c>
      <c r="I14" s="89">
        <v>45954</v>
      </c>
      <c r="J14" s="38">
        <v>1458.69</v>
      </c>
      <c r="K14" s="38">
        <v>0</v>
      </c>
      <c r="L14" s="46" t="s">
        <v>22</v>
      </c>
      <c r="M14" s="24">
        <f t="shared" si="2"/>
        <v>105.75</v>
      </c>
      <c r="N14" s="83">
        <v>364.67</v>
      </c>
      <c r="O14" s="28">
        <f>J14+K14+N14</f>
        <v>1823.3600000000001</v>
      </c>
    </row>
    <row r="15" spans="2:15" ht="52.5" customHeight="1" x14ac:dyDescent="0.3">
      <c r="B15" s="12" t="s">
        <v>41</v>
      </c>
      <c r="C15" s="26" t="s">
        <v>41</v>
      </c>
      <c r="D15" s="88" t="s">
        <v>47</v>
      </c>
      <c r="E15" s="96">
        <v>45945</v>
      </c>
      <c r="F15" s="84" t="s">
        <v>43</v>
      </c>
      <c r="G15" s="84" t="s">
        <v>44</v>
      </c>
      <c r="H15" s="12">
        <v>1757</v>
      </c>
      <c r="I15" s="89">
        <v>45954</v>
      </c>
      <c r="J15" s="38">
        <v>1458.69</v>
      </c>
      <c r="K15" s="38">
        <v>0</v>
      </c>
      <c r="L15" s="46" t="s">
        <v>22</v>
      </c>
      <c r="M15" s="83">
        <f t="shared" si="2"/>
        <v>105.75</v>
      </c>
      <c r="N15" s="83">
        <v>364.67</v>
      </c>
      <c r="O15" s="28">
        <f>J15+K15+N15</f>
        <v>1823.3600000000001</v>
      </c>
    </row>
    <row r="16" spans="2:15" ht="56.25" customHeight="1" x14ac:dyDescent="0.3">
      <c r="B16" s="12" t="s">
        <v>41</v>
      </c>
      <c r="C16" s="74" t="s">
        <v>41</v>
      </c>
      <c r="D16" s="31" t="s">
        <v>48</v>
      </c>
      <c r="E16" s="96">
        <v>45912</v>
      </c>
      <c r="F16" s="84" t="s">
        <v>43</v>
      </c>
      <c r="G16" s="84" t="s">
        <v>44</v>
      </c>
      <c r="H16" s="29">
        <v>1758</v>
      </c>
      <c r="I16" s="89">
        <v>45954</v>
      </c>
      <c r="J16" s="38">
        <v>1458.69</v>
      </c>
      <c r="K16" s="38">
        <v>0</v>
      </c>
      <c r="L16" s="46" t="s">
        <v>22</v>
      </c>
      <c r="M16" s="24">
        <f t="shared" si="2"/>
        <v>105.75</v>
      </c>
      <c r="N16" s="83">
        <v>364.67</v>
      </c>
      <c r="O16" s="28">
        <f t="shared" si="1"/>
        <v>1823.3600000000001</v>
      </c>
    </row>
    <row r="17" spans="2:16" ht="48.75" customHeight="1" x14ac:dyDescent="0.3">
      <c r="B17" s="12" t="s">
        <v>41</v>
      </c>
      <c r="C17" s="74" t="s">
        <v>41</v>
      </c>
      <c r="D17" s="31" t="s">
        <v>49</v>
      </c>
      <c r="E17" s="96">
        <v>45901</v>
      </c>
      <c r="F17" s="84" t="s">
        <v>43</v>
      </c>
      <c r="G17" s="84" t="s">
        <v>44</v>
      </c>
      <c r="H17" s="27">
        <v>1761</v>
      </c>
      <c r="I17" s="89">
        <v>45954</v>
      </c>
      <c r="J17" s="38">
        <v>1458.69</v>
      </c>
      <c r="K17" s="38">
        <v>0</v>
      </c>
      <c r="L17" s="46" t="s">
        <v>22</v>
      </c>
      <c r="M17" s="24">
        <f t="shared" si="2"/>
        <v>105.75</v>
      </c>
      <c r="N17" s="83">
        <v>364.67</v>
      </c>
      <c r="O17" s="28">
        <f t="shared" si="1"/>
        <v>1823.3600000000001</v>
      </c>
    </row>
    <row r="18" spans="2:16" ht="57.75" customHeight="1" x14ac:dyDescent="0.3">
      <c r="B18" s="74" t="s">
        <v>18</v>
      </c>
      <c r="C18" s="74" t="s">
        <v>18</v>
      </c>
      <c r="D18" s="76" t="s">
        <v>50</v>
      </c>
      <c r="E18" s="75">
        <v>45978</v>
      </c>
      <c r="F18" s="84" t="s">
        <v>51</v>
      </c>
      <c r="G18" s="84" t="s">
        <v>52</v>
      </c>
      <c r="H18" s="30">
        <v>1765</v>
      </c>
      <c r="I18" s="55">
        <v>45978</v>
      </c>
      <c r="J18" s="35">
        <v>0</v>
      </c>
      <c r="K18" s="38">
        <v>4200</v>
      </c>
      <c r="L18" s="46" t="s">
        <v>22</v>
      </c>
      <c r="M18" s="24">
        <f>0.02+0.02+210+201.6</f>
        <v>411.64</v>
      </c>
      <c r="N18" s="35">
        <v>0.42</v>
      </c>
      <c r="O18" s="28">
        <f>J18+K18+N18</f>
        <v>4200.42</v>
      </c>
    </row>
    <row r="19" spans="2:16" ht="48" customHeight="1" x14ac:dyDescent="0.3">
      <c r="B19" s="29" t="s">
        <v>18</v>
      </c>
      <c r="C19" s="74" t="s">
        <v>18</v>
      </c>
      <c r="D19" s="76" t="s">
        <v>53</v>
      </c>
      <c r="E19" s="75">
        <v>45978</v>
      </c>
      <c r="F19" s="84" t="s">
        <v>54</v>
      </c>
      <c r="G19" s="84" t="s">
        <v>55</v>
      </c>
      <c r="H19" s="30">
        <v>1766</v>
      </c>
      <c r="I19" s="75">
        <v>45978</v>
      </c>
      <c r="J19" s="35">
        <v>0</v>
      </c>
      <c r="K19" s="38">
        <v>2085</v>
      </c>
      <c r="L19" s="46" t="s">
        <v>22</v>
      </c>
      <c r="M19" s="24">
        <f>0.01+0.01+88.61</f>
        <v>88.63</v>
      </c>
      <c r="N19" s="24">
        <v>0.21</v>
      </c>
      <c r="O19" s="28">
        <f>J19+K19+N19</f>
        <v>2085.21</v>
      </c>
    </row>
    <row r="20" spans="2:16" ht="54.75" customHeight="1" x14ac:dyDescent="0.3">
      <c r="B20" s="29" t="s">
        <v>18</v>
      </c>
      <c r="C20" s="74" t="s">
        <v>18</v>
      </c>
      <c r="D20" s="77" t="s">
        <v>56</v>
      </c>
      <c r="E20" s="98" t="s">
        <v>57</v>
      </c>
      <c r="F20" s="84" t="s">
        <v>32</v>
      </c>
      <c r="G20" s="84" t="s">
        <v>33</v>
      </c>
      <c r="H20" s="30">
        <v>1767</v>
      </c>
      <c r="I20" s="75">
        <v>45978</v>
      </c>
      <c r="J20" s="38">
        <v>7835.2</v>
      </c>
      <c r="K20" s="38">
        <v>0</v>
      </c>
      <c r="L20" s="46" t="s">
        <v>22</v>
      </c>
      <c r="M20" s="24">
        <f>97.94+94.02+391.76</f>
        <v>583.72</v>
      </c>
      <c r="N20" s="35">
        <v>1958.8</v>
      </c>
      <c r="O20" s="28">
        <f>J20+K20+N20</f>
        <v>9794</v>
      </c>
    </row>
    <row r="21" spans="2:16" ht="51.75" customHeight="1" x14ac:dyDescent="0.3">
      <c r="B21" s="29" t="s">
        <v>18</v>
      </c>
      <c r="C21" s="74" t="s">
        <v>58</v>
      </c>
      <c r="D21" s="76" t="s">
        <v>59</v>
      </c>
      <c r="E21" s="75">
        <v>45978</v>
      </c>
      <c r="F21" s="84" t="s">
        <v>60</v>
      </c>
      <c r="G21" s="84" t="s">
        <v>40</v>
      </c>
      <c r="H21" s="30">
        <v>1768</v>
      </c>
      <c r="I21" s="75">
        <v>45978</v>
      </c>
      <c r="J21" s="35">
        <v>0</v>
      </c>
      <c r="K21" s="38">
        <v>65127.37</v>
      </c>
      <c r="L21" s="46" t="s">
        <v>22</v>
      </c>
      <c r="M21" s="35">
        <f>3256.37+3126.11</f>
        <v>6382.48</v>
      </c>
      <c r="N21" s="35">
        <v>0</v>
      </c>
      <c r="O21" s="28">
        <f>J21+K21+N21</f>
        <v>65127.37</v>
      </c>
    </row>
    <row r="22" spans="2:16" ht="48" customHeight="1" x14ac:dyDescent="0.3">
      <c r="B22" s="29" t="s">
        <v>18</v>
      </c>
      <c r="C22" s="74" t="s">
        <v>18</v>
      </c>
      <c r="D22" s="76" t="s">
        <v>61</v>
      </c>
      <c r="E22" s="55">
        <v>45996</v>
      </c>
      <c r="F22" s="84" t="s">
        <v>62</v>
      </c>
      <c r="G22" s="84" t="s">
        <v>63</v>
      </c>
      <c r="H22" s="30">
        <v>1850</v>
      </c>
      <c r="I22" s="55">
        <v>45996</v>
      </c>
      <c r="J22" s="35">
        <v>0</v>
      </c>
      <c r="K22" s="38">
        <v>4200</v>
      </c>
      <c r="L22" s="46" t="s">
        <v>22</v>
      </c>
      <c r="M22" s="24">
        <f>0.02+0.02+201.6</f>
        <v>201.64</v>
      </c>
      <c r="N22" s="35">
        <v>0.42</v>
      </c>
      <c r="O22" s="28">
        <f t="shared" ref="O22:O71" si="3">J22+K22+N22</f>
        <v>4200.42</v>
      </c>
      <c r="P22" s="3"/>
    </row>
    <row r="23" spans="2:16" ht="49.5" customHeight="1" x14ac:dyDescent="0.3">
      <c r="B23" s="29" t="s">
        <v>18</v>
      </c>
      <c r="C23" s="74" t="s">
        <v>18</v>
      </c>
      <c r="D23" s="76" t="s">
        <v>64</v>
      </c>
      <c r="E23" s="55">
        <v>45996</v>
      </c>
      <c r="F23" s="84" t="s">
        <v>62</v>
      </c>
      <c r="G23" s="84" t="s">
        <v>63</v>
      </c>
      <c r="H23" s="30">
        <v>1851</v>
      </c>
      <c r="I23" s="55">
        <v>45996</v>
      </c>
      <c r="J23" s="35">
        <v>0</v>
      </c>
      <c r="K23" s="38">
        <v>41925</v>
      </c>
      <c r="L23" s="46" t="s">
        <v>22</v>
      </c>
      <c r="M23" s="24">
        <f>0.21+0.2+2012.4</f>
        <v>2012.8100000000002</v>
      </c>
      <c r="N23" s="35">
        <v>4.1900000000000004</v>
      </c>
      <c r="O23" s="28">
        <f t="shared" si="3"/>
        <v>41929.19</v>
      </c>
      <c r="P23" s="3"/>
    </row>
    <row r="24" spans="2:16" ht="49.5" customHeight="1" x14ac:dyDescent="0.3">
      <c r="B24" s="29" t="s">
        <v>18</v>
      </c>
      <c r="C24" s="74" t="s">
        <v>18</v>
      </c>
      <c r="D24" s="76" t="s">
        <v>65</v>
      </c>
      <c r="E24" s="55">
        <v>45996</v>
      </c>
      <c r="F24" s="84" t="s">
        <v>66</v>
      </c>
      <c r="G24" s="84" t="s">
        <v>67</v>
      </c>
      <c r="H24" s="30">
        <v>1852</v>
      </c>
      <c r="I24" s="55">
        <v>45996</v>
      </c>
      <c r="J24" s="35">
        <v>0</v>
      </c>
      <c r="K24" s="38">
        <v>22530</v>
      </c>
      <c r="L24" s="46" t="s">
        <v>22</v>
      </c>
      <c r="M24" s="24">
        <f>0.11+0.11</f>
        <v>0.22</v>
      </c>
      <c r="N24" s="35">
        <v>2.25</v>
      </c>
      <c r="O24" s="28">
        <f t="shared" si="3"/>
        <v>22532.25</v>
      </c>
      <c r="P24" s="3"/>
    </row>
    <row r="25" spans="2:16" ht="51" customHeight="1" x14ac:dyDescent="0.3">
      <c r="B25" s="29" t="s">
        <v>18</v>
      </c>
      <c r="C25" s="74" t="s">
        <v>18</v>
      </c>
      <c r="D25" s="76" t="s">
        <v>68</v>
      </c>
      <c r="E25" s="55">
        <v>45996</v>
      </c>
      <c r="F25" s="84" t="s">
        <v>69</v>
      </c>
      <c r="G25" s="84" t="s">
        <v>70</v>
      </c>
      <c r="H25" s="30">
        <v>1853</v>
      </c>
      <c r="I25" s="55">
        <v>45996</v>
      </c>
      <c r="J25" s="35">
        <v>0</v>
      </c>
      <c r="K25" s="38">
        <v>75181.5</v>
      </c>
      <c r="L25" s="46" t="s">
        <v>22</v>
      </c>
      <c r="M25" s="24">
        <f>0.38+0.36</f>
        <v>0.74</v>
      </c>
      <c r="N25" s="35">
        <v>7.52</v>
      </c>
      <c r="O25" s="28">
        <f t="shared" si="3"/>
        <v>75189.02</v>
      </c>
      <c r="P25" s="3"/>
    </row>
    <row r="26" spans="2:16" ht="51.75" customHeight="1" x14ac:dyDescent="0.3">
      <c r="B26" s="29" t="s">
        <v>18</v>
      </c>
      <c r="C26" s="74" t="s">
        <v>18</v>
      </c>
      <c r="D26" s="76" t="s">
        <v>71</v>
      </c>
      <c r="E26" s="75">
        <v>45996</v>
      </c>
      <c r="F26" s="84" t="s">
        <v>72</v>
      </c>
      <c r="G26" s="84" t="s">
        <v>73</v>
      </c>
      <c r="H26" s="30">
        <v>1854</v>
      </c>
      <c r="I26" s="55">
        <v>45996</v>
      </c>
      <c r="J26" s="35">
        <v>0</v>
      </c>
      <c r="K26" s="38">
        <v>11024.28</v>
      </c>
      <c r="L26" s="46" t="s">
        <v>22</v>
      </c>
      <c r="M26" s="24">
        <f>0.06+0.05+370.42</f>
        <v>370.53000000000003</v>
      </c>
      <c r="N26" s="93">
        <v>1.1000000000000001</v>
      </c>
      <c r="O26" s="28">
        <f>J26+K26+N26</f>
        <v>11025.380000000001</v>
      </c>
      <c r="P26" s="3"/>
    </row>
    <row r="27" spans="2:16" ht="49.5" customHeight="1" x14ac:dyDescent="0.3">
      <c r="B27" s="29" t="s">
        <v>18</v>
      </c>
      <c r="C27" s="74" t="s">
        <v>18</v>
      </c>
      <c r="D27" s="76" t="s">
        <v>74</v>
      </c>
      <c r="E27" s="97" t="s">
        <v>75</v>
      </c>
      <c r="F27" s="84" t="s">
        <v>76</v>
      </c>
      <c r="G27" s="84" t="s">
        <v>77</v>
      </c>
      <c r="H27" s="30">
        <v>1855</v>
      </c>
      <c r="I27" s="55">
        <v>45996</v>
      </c>
      <c r="J27" s="38">
        <v>1798.92</v>
      </c>
      <c r="K27" s="38"/>
      <c r="L27" s="46" t="s">
        <v>22</v>
      </c>
      <c r="M27" s="24">
        <f>22.49+21.59+35.98</f>
        <v>80.06</v>
      </c>
      <c r="N27" s="35">
        <v>449.73</v>
      </c>
      <c r="O27" s="28">
        <f>J27+K27+N27</f>
        <v>2248.65</v>
      </c>
      <c r="P27" s="3"/>
    </row>
    <row r="28" spans="2:16" ht="50.25" customHeight="1" x14ac:dyDescent="0.3">
      <c r="B28" s="29" t="s">
        <v>18</v>
      </c>
      <c r="C28" s="74" t="s">
        <v>18</v>
      </c>
      <c r="D28" s="76" t="s">
        <v>78</v>
      </c>
      <c r="E28" s="97" t="s">
        <v>79</v>
      </c>
      <c r="F28" s="84" t="s">
        <v>80</v>
      </c>
      <c r="G28" s="84" t="s">
        <v>81</v>
      </c>
      <c r="H28" s="30">
        <v>1856</v>
      </c>
      <c r="I28" s="55">
        <v>45996</v>
      </c>
      <c r="J28" s="38">
        <v>1798.92</v>
      </c>
      <c r="K28" s="38"/>
      <c r="L28" s="46" t="s">
        <v>22</v>
      </c>
      <c r="M28" s="24">
        <f>22.49+21.59+35.98</f>
        <v>80.06</v>
      </c>
      <c r="N28" s="35">
        <v>449.73</v>
      </c>
      <c r="O28" s="28">
        <f>J28+K28+N28</f>
        <v>2248.65</v>
      </c>
      <c r="P28" s="3"/>
    </row>
    <row r="29" spans="2:16" ht="49.5" customHeight="1" x14ac:dyDescent="0.3">
      <c r="B29" s="29" t="s">
        <v>18</v>
      </c>
      <c r="C29" s="74" t="s">
        <v>18</v>
      </c>
      <c r="D29" s="76" t="s">
        <v>82</v>
      </c>
      <c r="E29" s="97" t="s">
        <v>79</v>
      </c>
      <c r="F29" s="84" t="s">
        <v>83</v>
      </c>
      <c r="G29" s="84" t="s">
        <v>84</v>
      </c>
      <c r="H29" s="30">
        <v>1857</v>
      </c>
      <c r="I29" s="55">
        <v>45996</v>
      </c>
      <c r="J29" s="38">
        <v>1798.92</v>
      </c>
      <c r="K29" s="38"/>
      <c r="L29" s="46" t="s">
        <v>22</v>
      </c>
      <c r="M29" s="24">
        <f>22.49+21.59+37.78</f>
        <v>81.86</v>
      </c>
      <c r="N29" s="35">
        <v>449.73</v>
      </c>
      <c r="O29" s="28">
        <f t="shared" si="3"/>
        <v>2248.65</v>
      </c>
      <c r="P29" s="3"/>
    </row>
    <row r="30" spans="2:16" ht="49.5" customHeight="1" x14ac:dyDescent="0.3">
      <c r="B30" s="29" t="s">
        <v>18</v>
      </c>
      <c r="C30" s="74" t="s">
        <v>18</v>
      </c>
      <c r="D30" s="76" t="s">
        <v>85</v>
      </c>
      <c r="E30" s="97" t="s">
        <v>86</v>
      </c>
      <c r="F30" s="84" t="s">
        <v>87</v>
      </c>
      <c r="G30" s="84" t="s">
        <v>88</v>
      </c>
      <c r="H30" s="30">
        <v>1858</v>
      </c>
      <c r="I30" s="55">
        <v>45996</v>
      </c>
      <c r="J30" s="38">
        <v>1798.92</v>
      </c>
      <c r="K30" s="38"/>
      <c r="L30" s="46" t="s">
        <v>22</v>
      </c>
      <c r="M30" s="24">
        <f>22.49+21.59+35.98</f>
        <v>80.06</v>
      </c>
      <c r="N30" s="35">
        <v>449.73</v>
      </c>
      <c r="O30" s="28">
        <f t="shared" si="3"/>
        <v>2248.65</v>
      </c>
      <c r="P30" s="3"/>
    </row>
    <row r="31" spans="2:16" ht="49.5" customHeight="1" x14ac:dyDescent="0.3">
      <c r="B31" s="29" t="s">
        <v>18</v>
      </c>
      <c r="C31" s="74" t="s">
        <v>18</v>
      </c>
      <c r="D31" s="76" t="s">
        <v>89</v>
      </c>
      <c r="E31" s="97" t="s">
        <v>79</v>
      </c>
      <c r="F31" s="84" t="s">
        <v>90</v>
      </c>
      <c r="G31" s="84" t="s">
        <v>91</v>
      </c>
      <c r="H31" s="30">
        <v>1859</v>
      </c>
      <c r="I31" s="55">
        <v>45996</v>
      </c>
      <c r="J31" s="38">
        <v>1798.92</v>
      </c>
      <c r="K31" s="38"/>
      <c r="L31" s="46" t="s">
        <v>22</v>
      </c>
      <c r="M31" s="24">
        <f>22.49+21.59+35.98</f>
        <v>80.06</v>
      </c>
      <c r="N31" s="35">
        <v>449.73</v>
      </c>
      <c r="O31" s="28">
        <f t="shared" si="3"/>
        <v>2248.65</v>
      </c>
      <c r="P31" s="3"/>
    </row>
    <row r="32" spans="2:16" ht="49.5" customHeight="1" x14ac:dyDescent="0.3">
      <c r="B32" s="29" t="s">
        <v>18</v>
      </c>
      <c r="C32" s="74" t="s">
        <v>18</v>
      </c>
      <c r="D32" s="76" t="s">
        <v>92</v>
      </c>
      <c r="E32" s="97" t="s">
        <v>93</v>
      </c>
      <c r="F32" s="84" t="s">
        <v>94</v>
      </c>
      <c r="G32" s="84" t="s">
        <v>95</v>
      </c>
      <c r="H32" s="30">
        <v>1861</v>
      </c>
      <c r="I32" s="55">
        <v>45996</v>
      </c>
      <c r="J32" s="38">
        <v>1798.92</v>
      </c>
      <c r="K32" s="38"/>
      <c r="L32" s="46" t="s">
        <v>22</v>
      </c>
      <c r="M32" s="24">
        <f>22.49+21.59+36.16</f>
        <v>80.239999999999995</v>
      </c>
      <c r="N32" s="35">
        <v>449.73</v>
      </c>
      <c r="O32" s="28">
        <f t="shared" si="3"/>
        <v>2248.65</v>
      </c>
      <c r="P32" s="3"/>
    </row>
    <row r="33" spans="2:17" ht="50.25" customHeight="1" x14ac:dyDescent="0.3">
      <c r="B33" s="29" t="s">
        <v>18</v>
      </c>
      <c r="C33" s="74" t="s">
        <v>18</v>
      </c>
      <c r="D33" s="76" t="s">
        <v>96</v>
      </c>
      <c r="E33" s="97" t="s">
        <v>97</v>
      </c>
      <c r="F33" s="84" t="s">
        <v>98</v>
      </c>
      <c r="G33" s="84" t="s">
        <v>36</v>
      </c>
      <c r="H33" s="30">
        <v>1862</v>
      </c>
      <c r="I33" s="75">
        <v>45996</v>
      </c>
      <c r="J33" s="38">
        <v>7432.32</v>
      </c>
      <c r="K33" s="38"/>
      <c r="L33" s="46" t="s">
        <v>22</v>
      </c>
      <c r="M33" s="24">
        <f>92.9+89.19</f>
        <v>182.09</v>
      </c>
      <c r="N33" s="35">
        <v>1858.08</v>
      </c>
      <c r="O33" s="28">
        <f t="shared" si="3"/>
        <v>9290.4</v>
      </c>
      <c r="P33" s="3"/>
    </row>
    <row r="34" spans="2:17" ht="55.5" customHeight="1" x14ac:dyDescent="0.3">
      <c r="B34" s="29" t="s">
        <v>18</v>
      </c>
      <c r="C34" s="74" t="s">
        <v>18</v>
      </c>
      <c r="D34" s="76" t="s">
        <v>99</v>
      </c>
      <c r="E34" s="97" t="s">
        <v>100</v>
      </c>
      <c r="F34" s="84" t="s">
        <v>101</v>
      </c>
      <c r="G34" s="84" t="s">
        <v>33</v>
      </c>
      <c r="H34" s="30">
        <v>1863</v>
      </c>
      <c r="I34" s="75">
        <v>45996</v>
      </c>
      <c r="J34" s="38">
        <v>107497.60000000001</v>
      </c>
      <c r="K34" s="38"/>
      <c r="L34" s="46" t="s">
        <v>22</v>
      </c>
      <c r="M34" s="39">
        <f>1343.72+1289.97+5374.88</f>
        <v>8008.57</v>
      </c>
      <c r="N34" s="35">
        <v>26874.400000000001</v>
      </c>
      <c r="O34" s="28">
        <f t="shared" si="3"/>
        <v>134372</v>
      </c>
      <c r="P34" s="3"/>
    </row>
    <row r="35" spans="2:17" ht="50.25" customHeight="1" x14ac:dyDescent="0.3">
      <c r="B35" s="29" t="s">
        <v>18</v>
      </c>
      <c r="C35" s="74" t="s">
        <v>18</v>
      </c>
      <c r="D35" s="76" t="s">
        <v>102</v>
      </c>
      <c r="E35" s="97" t="s">
        <v>103</v>
      </c>
      <c r="F35" s="84" t="s">
        <v>32</v>
      </c>
      <c r="G35" s="84" t="s">
        <v>33</v>
      </c>
      <c r="H35" s="30">
        <v>1864</v>
      </c>
      <c r="I35" s="75">
        <v>45996</v>
      </c>
      <c r="J35" s="38">
        <v>5312</v>
      </c>
      <c r="K35" s="38"/>
      <c r="L35" s="46" t="s">
        <v>22</v>
      </c>
      <c r="M35" s="39">
        <f>66.4+63.74+265.6</f>
        <v>395.74</v>
      </c>
      <c r="N35" s="35">
        <v>1328</v>
      </c>
      <c r="O35" s="28">
        <f t="shared" si="3"/>
        <v>6640</v>
      </c>
      <c r="P35" s="3"/>
    </row>
    <row r="36" spans="2:17" ht="50.25" customHeight="1" x14ac:dyDescent="0.3">
      <c r="B36" s="78" t="s">
        <v>18</v>
      </c>
      <c r="C36" s="74" t="s">
        <v>18</v>
      </c>
      <c r="D36" s="76" t="s">
        <v>104</v>
      </c>
      <c r="E36" s="75">
        <v>45996</v>
      </c>
      <c r="F36" s="84" t="s">
        <v>39</v>
      </c>
      <c r="G36" s="84" t="s">
        <v>40</v>
      </c>
      <c r="H36" s="79">
        <v>1865</v>
      </c>
      <c r="I36" s="75">
        <v>45996</v>
      </c>
      <c r="J36" s="38">
        <v>0</v>
      </c>
      <c r="K36" s="38">
        <v>65755.990000000005</v>
      </c>
      <c r="L36" s="46" t="s">
        <v>22</v>
      </c>
      <c r="M36" s="39">
        <f>3287.8+3156.29</f>
        <v>6444.09</v>
      </c>
      <c r="N36" s="40">
        <v>0</v>
      </c>
      <c r="O36" s="28">
        <f>J36+K36+N36</f>
        <v>65755.990000000005</v>
      </c>
      <c r="P36" s="3"/>
    </row>
    <row r="37" spans="2:17" ht="67.5" customHeight="1" x14ac:dyDescent="0.3">
      <c r="B37" s="29" t="s">
        <v>18</v>
      </c>
      <c r="C37" s="74" t="s">
        <v>18</v>
      </c>
      <c r="D37" s="76" t="s">
        <v>105</v>
      </c>
      <c r="E37" s="97" t="s">
        <v>79</v>
      </c>
      <c r="F37" s="84" t="s">
        <v>106</v>
      </c>
      <c r="G37" s="84" t="s">
        <v>107</v>
      </c>
      <c r="H37" s="30">
        <v>1866</v>
      </c>
      <c r="I37" s="75">
        <v>45996</v>
      </c>
      <c r="J37" s="38">
        <v>1798.92</v>
      </c>
      <c r="K37" s="38"/>
      <c r="L37" s="46" t="s">
        <v>22</v>
      </c>
      <c r="M37" s="35">
        <f>22.49+21.59+35.98</f>
        <v>80.06</v>
      </c>
      <c r="N37" s="35">
        <v>449.73</v>
      </c>
      <c r="O37" s="28">
        <f t="shared" si="3"/>
        <v>2248.65</v>
      </c>
      <c r="P37" s="3"/>
    </row>
    <row r="38" spans="2:17" ht="48.75" customHeight="1" x14ac:dyDescent="0.3">
      <c r="B38" s="29" t="s">
        <v>41</v>
      </c>
      <c r="C38" s="74" t="s">
        <v>41</v>
      </c>
      <c r="D38" s="76" t="s">
        <v>108</v>
      </c>
      <c r="E38" s="96">
        <v>45967</v>
      </c>
      <c r="F38" s="84" t="s">
        <v>43</v>
      </c>
      <c r="G38" s="84" t="s">
        <v>44</v>
      </c>
      <c r="H38" s="30">
        <v>1908</v>
      </c>
      <c r="I38" s="75">
        <v>46002</v>
      </c>
      <c r="J38" s="38">
        <v>1458.69</v>
      </c>
      <c r="K38" s="38"/>
      <c r="L38" s="46" t="s">
        <v>22</v>
      </c>
      <c r="M38" s="24">
        <f>18.23+17.5+70.02</f>
        <v>105.75</v>
      </c>
      <c r="N38" s="35">
        <v>364.67</v>
      </c>
      <c r="O38" s="28">
        <f>J38+K38+N38</f>
        <v>1823.3600000000001</v>
      </c>
      <c r="P38" s="3"/>
    </row>
    <row r="39" spans="2:17" ht="48" customHeight="1" x14ac:dyDescent="0.3">
      <c r="B39" s="29" t="s">
        <v>41</v>
      </c>
      <c r="C39" s="74" t="s">
        <v>41</v>
      </c>
      <c r="D39" s="76" t="s">
        <v>109</v>
      </c>
      <c r="E39" s="96">
        <v>45994</v>
      </c>
      <c r="F39" s="84" t="s">
        <v>43</v>
      </c>
      <c r="G39" s="84" t="s">
        <v>44</v>
      </c>
      <c r="H39" s="30">
        <v>1911</v>
      </c>
      <c r="I39" s="75">
        <v>46002</v>
      </c>
      <c r="J39" s="38">
        <v>1458.69</v>
      </c>
      <c r="K39" s="38"/>
      <c r="L39" s="46" t="s">
        <v>22</v>
      </c>
      <c r="M39" s="24">
        <f>18.23+17.5+70.02</f>
        <v>105.75</v>
      </c>
      <c r="N39" s="35">
        <v>364.67</v>
      </c>
      <c r="O39" s="94">
        <f>J39+K39+N39</f>
        <v>1823.3600000000001</v>
      </c>
      <c r="P39" s="3"/>
      <c r="Q39" s="3">
        <f>O38+O39+O40+O41-O41+O66+O67+O68+O69+O70+O71+O72</f>
        <v>18409.04</v>
      </c>
    </row>
    <row r="40" spans="2:17" ht="51.75" customHeight="1" x14ac:dyDescent="0.3">
      <c r="B40" s="29" t="s">
        <v>41</v>
      </c>
      <c r="C40" s="74" t="s">
        <v>41</v>
      </c>
      <c r="D40" s="76" t="s">
        <v>110</v>
      </c>
      <c r="E40" s="96">
        <v>45901</v>
      </c>
      <c r="F40" s="84" t="s">
        <v>43</v>
      </c>
      <c r="G40" s="84" t="s">
        <v>44</v>
      </c>
      <c r="H40" s="30">
        <v>1913</v>
      </c>
      <c r="I40" s="75">
        <v>46002</v>
      </c>
      <c r="J40" s="38">
        <v>1458.69</v>
      </c>
      <c r="K40" s="38"/>
      <c r="L40" s="46" t="s">
        <v>22</v>
      </c>
      <c r="M40" s="24">
        <f>18.23+17.5+70.02</f>
        <v>105.75</v>
      </c>
      <c r="N40" s="93">
        <v>364.67</v>
      </c>
      <c r="O40" s="28">
        <f>J40+K40+N40</f>
        <v>1823.3600000000001</v>
      </c>
      <c r="P40" s="3"/>
    </row>
    <row r="41" spans="2:17" ht="50.25" customHeight="1" x14ac:dyDescent="0.3">
      <c r="B41" s="29" t="s">
        <v>18</v>
      </c>
      <c r="C41" s="74" t="s">
        <v>18</v>
      </c>
      <c r="D41" s="76" t="s">
        <v>111</v>
      </c>
      <c r="E41" s="97" t="s">
        <v>112</v>
      </c>
      <c r="F41" s="84" t="s">
        <v>113</v>
      </c>
      <c r="G41" s="84" t="s">
        <v>114</v>
      </c>
      <c r="H41" s="79">
        <v>1949</v>
      </c>
      <c r="I41" s="75">
        <v>46008</v>
      </c>
      <c r="J41" s="38">
        <v>5517.34</v>
      </c>
      <c r="K41" s="38"/>
      <c r="L41" s="46" t="s">
        <v>115</v>
      </c>
      <c r="M41" s="39">
        <f>68.97+66.21+264.83</f>
        <v>400.01</v>
      </c>
      <c r="N41" s="35">
        <v>1379.34</v>
      </c>
      <c r="O41" s="28">
        <f t="shared" si="3"/>
        <v>6896.68</v>
      </c>
      <c r="P41" s="3"/>
    </row>
    <row r="42" spans="2:17" ht="50.25" customHeight="1" x14ac:dyDescent="0.3">
      <c r="B42" s="29" t="s">
        <v>18</v>
      </c>
      <c r="C42" s="74" t="s">
        <v>18</v>
      </c>
      <c r="D42" s="76" t="s">
        <v>116</v>
      </c>
      <c r="E42" s="97" t="s">
        <v>117</v>
      </c>
      <c r="F42" s="84" t="s">
        <v>118</v>
      </c>
      <c r="G42" s="84" t="s">
        <v>36</v>
      </c>
      <c r="H42" s="79">
        <v>1950</v>
      </c>
      <c r="I42" s="75">
        <v>46008</v>
      </c>
      <c r="J42" s="38">
        <v>7432.32</v>
      </c>
      <c r="K42" s="38"/>
      <c r="L42" s="46" t="s">
        <v>115</v>
      </c>
      <c r="M42" s="39">
        <f>92.9+89.19</f>
        <v>182.09</v>
      </c>
      <c r="N42" s="35">
        <v>1858.08</v>
      </c>
      <c r="O42" s="28">
        <f t="shared" si="3"/>
        <v>9290.4</v>
      </c>
      <c r="P42" s="3"/>
    </row>
    <row r="43" spans="2:17" ht="50.25" customHeight="1" x14ac:dyDescent="0.3">
      <c r="B43" s="29" t="s">
        <v>18</v>
      </c>
      <c r="C43" s="74" t="s">
        <v>18</v>
      </c>
      <c r="D43" s="76" t="s">
        <v>119</v>
      </c>
      <c r="E43" s="97" t="s">
        <v>120</v>
      </c>
      <c r="F43" s="84" t="s">
        <v>121</v>
      </c>
      <c r="G43" s="84" t="s">
        <v>122</v>
      </c>
      <c r="H43" s="79">
        <v>1951</v>
      </c>
      <c r="I43" s="75">
        <v>46008</v>
      </c>
      <c r="J43" s="38">
        <v>2393.6</v>
      </c>
      <c r="K43" s="38"/>
      <c r="L43" s="46" t="s">
        <v>115</v>
      </c>
      <c r="M43" s="39">
        <f>29.92+28.72+114.89</f>
        <v>173.53</v>
      </c>
      <c r="N43" s="35">
        <v>598.4</v>
      </c>
      <c r="O43" s="28">
        <f t="shared" si="3"/>
        <v>2992</v>
      </c>
      <c r="P43" s="3"/>
    </row>
    <row r="44" spans="2:17" ht="50.25" customHeight="1" x14ac:dyDescent="0.3">
      <c r="B44" s="29" t="s">
        <v>18</v>
      </c>
      <c r="C44" s="74" t="s">
        <v>18</v>
      </c>
      <c r="D44" s="67" t="s">
        <v>123</v>
      </c>
      <c r="E44" s="97" t="s">
        <v>124</v>
      </c>
      <c r="F44" s="29" t="s">
        <v>32</v>
      </c>
      <c r="G44" s="29" t="s">
        <v>125</v>
      </c>
      <c r="H44" s="78">
        <v>1952</v>
      </c>
      <c r="I44" s="75">
        <v>46008</v>
      </c>
      <c r="J44" s="38">
        <v>43655.62</v>
      </c>
      <c r="K44" s="38"/>
      <c r="L44" s="46" t="s">
        <v>115</v>
      </c>
      <c r="M44" s="39">
        <f>545.7+523.87+2182.78</f>
        <v>3252.3500000000004</v>
      </c>
      <c r="N44" s="35">
        <v>10913.91</v>
      </c>
      <c r="O44" s="28">
        <f t="shared" si="3"/>
        <v>54569.53</v>
      </c>
      <c r="P44" s="3"/>
    </row>
    <row r="45" spans="2:17" ht="50.25" customHeight="1" x14ac:dyDescent="0.3">
      <c r="B45" s="29" t="s">
        <v>18</v>
      </c>
      <c r="C45" s="74" t="s">
        <v>18</v>
      </c>
      <c r="D45" s="67" t="s">
        <v>126</v>
      </c>
      <c r="E45" s="97" t="s">
        <v>127</v>
      </c>
      <c r="F45" s="29" t="s">
        <v>128</v>
      </c>
      <c r="G45" s="29" t="s">
        <v>95</v>
      </c>
      <c r="H45" s="78">
        <v>1953</v>
      </c>
      <c r="I45" s="75">
        <v>46008</v>
      </c>
      <c r="J45" s="38">
        <v>3600</v>
      </c>
      <c r="K45" s="38"/>
      <c r="L45" s="46" t="s">
        <v>115</v>
      </c>
      <c r="M45" s="42">
        <f>45+43.2+72.36</f>
        <v>160.56</v>
      </c>
      <c r="N45" s="38">
        <v>900</v>
      </c>
      <c r="O45" s="28">
        <f t="shared" si="3"/>
        <v>4500</v>
      </c>
      <c r="P45" s="3"/>
    </row>
    <row r="46" spans="2:17" ht="50.25" customHeight="1" x14ac:dyDescent="0.3">
      <c r="B46" s="29" t="s">
        <v>18</v>
      </c>
      <c r="C46" s="74" t="s">
        <v>18</v>
      </c>
      <c r="D46" s="67" t="s">
        <v>129</v>
      </c>
      <c r="E46" s="97" t="s">
        <v>127</v>
      </c>
      <c r="F46" s="29" t="s">
        <v>106</v>
      </c>
      <c r="G46" s="29" t="s">
        <v>107</v>
      </c>
      <c r="H46" s="78">
        <v>1954</v>
      </c>
      <c r="I46" s="75">
        <v>46008</v>
      </c>
      <c r="J46" s="38">
        <v>2560</v>
      </c>
      <c r="K46" s="38"/>
      <c r="L46" s="46" t="s">
        <v>115</v>
      </c>
      <c r="M46" s="42">
        <f>32+30.72+51.2</f>
        <v>113.92</v>
      </c>
      <c r="N46" s="38">
        <v>640</v>
      </c>
      <c r="O46" s="28">
        <f t="shared" si="3"/>
        <v>3200</v>
      </c>
      <c r="P46" s="3"/>
      <c r="Q46">
        <f>129.15+123.99+298.01+73.16+2756.23+2904.21+2645.98+379.72</f>
        <v>9310.4499999999989</v>
      </c>
    </row>
    <row r="47" spans="2:17" ht="50.25" customHeight="1" x14ac:dyDescent="0.3">
      <c r="B47" s="29" t="s">
        <v>18</v>
      </c>
      <c r="C47" s="74" t="s">
        <v>18</v>
      </c>
      <c r="D47" s="67" t="s">
        <v>130</v>
      </c>
      <c r="E47" s="97" t="s">
        <v>127</v>
      </c>
      <c r="F47" s="29" t="s">
        <v>131</v>
      </c>
      <c r="G47" s="29" t="s">
        <v>132</v>
      </c>
      <c r="H47" s="79">
        <v>1955</v>
      </c>
      <c r="I47" s="75">
        <v>46008</v>
      </c>
      <c r="J47" s="38">
        <v>2560</v>
      </c>
      <c r="K47" s="38"/>
      <c r="L47" s="46" t="s">
        <v>115</v>
      </c>
      <c r="M47" s="42">
        <f>32+30.72+51.2</f>
        <v>113.92</v>
      </c>
      <c r="N47" s="38">
        <v>640</v>
      </c>
      <c r="O47" s="28">
        <f t="shared" si="3"/>
        <v>3200</v>
      </c>
      <c r="P47" s="3"/>
    </row>
    <row r="48" spans="2:17" ht="50.25" customHeight="1" x14ac:dyDescent="0.3">
      <c r="B48" s="29" t="s">
        <v>18</v>
      </c>
      <c r="C48" s="74" t="s">
        <v>18</v>
      </c>
      <c r="D48" s="67" t="s">
        <v>133</v>
      </c>
      <c r="E48" s="97" t="s">
        <v>134</v>
      </c>
      <c r="F48" s="29" t="s">
        <v>80</v>
      </c>
      <c r="G48" s="29" t="s">
        <v>135</v>
      </c>
      <c r="H48" s="79">
        <v>1956</v>
      </c>
      <c r="I48" s="75">
        <v>46008</v>
      </c>
      <c r="J48" s="38">
        <v>1440</v>
      </c>
      <c r="K48" s="38"/>
      <c r="L48" s="46" t="s">
        <v>115</v>
      </c>
      <c r="M48" s="42">
        <f>18+17.28+28.8</f>
        <v>64.08</v>
      </c>
      <c r="N48" s="46">
        <v>360</v>
      </c>
      <c r="O48" s="28">
        <f t="shared" si="3"/>
        <v>1800</v>
      </c>
      <c r="P48" s="3"/>
    </row>
    <row r="49" spans="2:16" ht="50.25" customHeight="1" x14ac:dyDescent="0.3">
      <c r="B49" s="29" t="s">
        <v>18</v>
      </c>
      <c r="C49" s="74" t="s">
        <v>18</v>
      </c>
      <c r="D49" s="51" t="s">
        <v>136</v>
      </c>
      <c r="E49" s="97" t="s">
        <v>134</v>
      </c>
      <c r="F49" s="84" t="s">
        <v>137</v>
      </c>
      <c r="G49" s="84" t="s">
        <v>138</v>
      </c>
      <c r="H49" s="79">
        <v>1957</v>
      </c>
      <c r="I49" s="75">
        <v>46008</v>
      </c>
      <c r="J49" s="38">
        <v>1440</v>
      </c>
      <c r="K49" s="38"/>
      <c r="L49" s="46" t="s">
        <v>115</v>
      </c>
      <c r="M49" s="42">
        <f>18+17.28+28.8</f>
        <v>64.08</v>
      </c>
      <c r="N49" s="46">
        <v>360</v>
      </c>
      <c r="O49" s="28">
        <f t="shared" si="3"/>
        <v>1800</v>
      </c>
      <c r="P49" s="3"/>
    </row>
    <row r="50" spans="2:16" ht="50.25" customHeight="1" x14ac:dyDescent="0.3">
      <c r="B50" s="29" t="s">
        <v>18</v>
      </c>
      <c r="C50" s="74" t="s">
        <v>18</v>
      </c>
      <c r="D50" s="31" t="s">
        <v>139</v>
      </c>
      <c r="E50" s="97" t="s">
        <v>134</v>
      </c>
      <c r="F50" s="84" t="s">
        <v>140</v>
      </c>
      <c r="G50" s="84" t="s">
        <v>141</v>
      </c>
      <c r="H50" s="79">
        <v>1958</v>
      </c>
      <c r="I50" s="75">
        <v>46008</v>
      </c>
      <c r="J50" s="38">
        <v>1440</v>
      </c>
      <c r="K50" s="38"/>
      <c r="L50" s="46" t="s">
        <v>115</v>
      </c>
      <c r="M50" s="42">
        <f>18+17.28+51.41</f>
        <v>86.69</v>
      </c>
      <c r="N50" s="46">
        <v>360</v>
      </c>
      <c r="O50" s="28">
        <f t="shared" si="3"/>
        <v>1800</v>
      </c>
      <c r="P50" s="3"/>
    </row>
    <row r="51" spans="2:16" ht="50.25" customHeight="1" x14ac:dyDescent="0.3">
      <c r="B51" s="29" t="s">
        <v>18</v>
      </c>
      <c r="C51" s="26" t="s">
        <v>18</v>
      </c>
      <c r="D51" s="55" t="s">
        <v>142</v>
      </c>
      <c r="E51" s="97" t="s">
        <v>134</v>
      </c>
      <c r="F51" s="84" t="s">
        <v>143</v>
      </c>
      <c r="G51" s="84" t="s">
        <v>144</v>
      </c>
      <c r="H51" s="79">
        <v>1959</v>
      </c>
      <c r="I51" s="75">
        <v>46008</v>
      </c>
      <c r="J51" s="38">
        <v>1440</v>
      </c>
      <c r="K51" s="38"/>
      <c r="L51" s="46" t="s">
        <v>115</v>
      </c>
      <c r="M51" s="42">
        <f>18+17.28+28.8</f>
        <v>64.08</v>
      </c>
      <c r="N51" s="46">
        <v>360</v>
      </c>
      <c r="O51" s="28">
        <f t="shared" si="3"/>
        <v>1800</v>
      </c>
      <c r="P51" s="3"/>
    </row>
    <row r="52" spans="2:16" ht="57" customHeight="1" x14ac:dyDescent="0.3">
      <c r="B52" s="29" t="s">
        <v>18</v>
      </c>
      <c r="C52" s="26" t="s">
        <v>18</v>
      </c>
      <c r="D52" s="55" t="s">
        <v>145</v>
      </c>
      <c r="E52" s="97" t="s">
        <v>134</v>
      </c>
      <c r="F52" s="84" t="s">
        <v>146</v>
      </c>
      <c r="G52" s="84" t="s">
        <v>147</v>
      </c>
      <c r="H52" s="79">
        <v>1960</v>
      </c>
      <c r="I52" s="75">
        <v>46008</v>
      </c>
      <c r="J52" s="38">
        <v>1440</v>
      </c>
      <c r="K52" s="38"/>
      <c r="L52" s="46" t="s">
        <v>115</v>
      </c>
      <c r="M52" s="42">
        <f>18+17.28+28.94</f>
        <v>64.22</v>
      </c>
      <c r="N52" s="46">
        <v>360</v>
      </c>
      <c r="O52" s="28">
        <f t="shared" si="3"/>
        <v>1800</v>
      </c>
      <c r="P52" s="3"/>
    </row>
    <row r="53" spans="2:16" ht="57" customHeight="1" x14ac:dyDescent="0.3">
      <c r="B53" s="29" t="s">
        <v>18</v>
      </c>
      <c r="C53" s="74" t="s">
        <v>18</v>
      </c>
      <c r="D53" s="31" t="s">
        <v>148</v>
      </c>
      <c r="E53" s="97" t="s">
        <v>134</v>
      </c>
      <c r="F53" s="84" t="s">
        <v>149</v>
      </c>
      <c r="G53" s="84" t="s">
        <v>150</v>
      </c>
      <c r="H53" s="30">
        <v>1961</v>
      </c>
      <c r="I53" s="75">
        <v>46008</v>
      </c>
      <c r="J53" s="38">
        <v>1440</v>
      </c>
      <c r="K53" s="38"/>
      <c r="L53" s="46" t="s">
        <v>115</v>
      </c>
      <c r="M53" s="42">
        <f>18+17.28+28.8</f>
        <v>64.08</v>
      </c>
      <c r="N53" s="38">
        <v>360</v>
      </c>
      <c r="O53" s="28">
        <f t="shared" si="3"/>
        <v>1800</v>
      </c>
      <c r="P53" s="3"/>
    </row>
    <row r="54" spans="2:16" ht="57" customHeight="1" x14ac:dyDescent="0.3">
      <c r="B54" s="29" t="s">
        <v>18</v>
      </c>
      <c r="C54" s="74" t="s">
        <v>18</v>
      </c>
      <c r="D54" s="31" t="s">
        <v>151</v>
      </c>
      <c r="E54" s="97" t="s">
        <v>134</v>
      </c>
      <c r="F54" s="84" t="s">
        <v>152</v>
      </c>
      <c r="G54" s="84" t="s">
        <v>153</v>
      </c>
      <c r="H54" s="30">
        <v>1962</v>
      </c>
      <c r="I54" s="75">
        <v>46008</v>
      </c>
      <c r="J54" s="38">
        <v>1440</v>
      </c>
      <c r="K54" s="38"/>
      <c r="L54" s="46" t="s">
        <v>115</v>
      </c>
      <c r="M54" s="42">
        <f>18+17.28+28.8</f>
        <v>64.08</v>
      </c>
      <c r="N54" s="38">
        <v>360</v>
      </c>
      <c r="O54" s="28">
        <f t="shared" si="3"/>
        <v>1800</v>
      </c>
      <c r="P54" s="3"/>
    </row>
    <row r="55" spans="2:16" ht="57" customHeight="1" x14ac:dyDescent="0.3">
      <c r="B55" s="29" t="s">
        <v>18</v>
      </c>
      <c r="C55" s="74" t="s">
        <v>18</v>
      </c>
      <c r="D55" s="31" t="s">
        <v>154</v>
      </c>
      <c r="E55" s="97" t="s">
        <v>134</v>
      </c>
      <c r="F55" s="84" t="s">
        <v>155</v>
      </c>
      <c r="G55" s="84" t="s">
        <v>156</v>
      </c>
      <c r="H55" s="30">
        <v>1963</v>
      </c>
      <c r="I55" s="75">
        <v>46008</v>
      </c>
      <c r="J55" s="38">
        <v>1440</v>
      </c>
      <c r="K55" s="38"/>
      <c r="L55" s="46" t="s">
        <v>115</v>
      </c>
      <c r="M55" s="42">
        <f>18+17.28+28.8</f>
        <v>64.08</v>
      </c>
      <c r="N55" s="38">
        <v>360</v>
      </c>
      <c r="O55" s="28">
        <f t="shared" si="3"/>
        <v>1800</v>
      </c>
      <c r="P55" s="3"/>
    </row>
    <row r="56" spans="2:16" ht="57" customHeight="1" x14ac:dyDescent="0.3">
      <c r="B56" s="29" t="s">
        <v>18</v>
      </c>
      <c r="C56" s="74" t="s">
        <v>18</v>
      </c>
      <c r="D56" s="31" t="s">
        <v>157</v>
      </c>
      <c r="E56" s="97" t="s">
        <v>134</v>
      </c>
      <c r="F56" s="84" t="s">
        <v>158</v>
      </c>
      <c r="G56" s="84" t="s">
        <v>159</v>
      </c>
      <c r="H56" s="79">
        <v>1964</v>
      </c>
      <c r="I56" s="75">
        <v>46008</v>
      </c>
      <c r="J56" s="38">
        <v>1440</v>
      </c>
      <c r="K56" s="38"/>
      <c r="L56" s="46" t="s">
        <v>115</v>
      </c>
      <c r="M56" s="42">
        <f>18+17.28+28.94</f>
        <v>64.22</v>
      </c>
      <c r="N56" s="38">
        <v>360</v>
      </c>
      <c r="O56" s="28">
        <f t="shared" si="3"/>
        <v>1800</v>
      </c>
      <c r="P56" s="3"/>
    </row>
    <row r="57" spans="2:16" ht="57" customHeight="1" x14ac:dyDescent="0.3">
      <c r="B57" s="29" t="s">
        <v>18</v>
      </c>
      <c r="C57" s="74" t="s">
        <v>18</v>
      </c>
      <c r="D57" s="31" t="s">
        <v>160</v>
      </c>
      <c r="E57" s="97" t="s">
        <v>134</v>
      </c>
      <c r="F57" s="84" t="s">
        <v>161</v>
      </c>
      <c r="G57" s="84" t="s">
        <v>162</v>
      </c>
      <c r="H57" s="30">
        <v>1965</v>
      </c>
      <c r="I57" s="75">
        <v>46008</v>
      </c>
      <c r="J57" s="38">
        <v>1440</v>
      </c>
      <c r="K57" s="38"/>
      <c r="L57" s="46" t="s">
        <v>115</v>
      </c>
      <c r="M57" s="42">
        <f>18+17.28+72</f>
        <v>107.28</v>
      </c>
      <c r="N57" s="38">
        <v>360</v>
      </c>
      <c r="O57" s="28">
        <f t="shared" si="3"/>
        <v>1800</v>
      </c>
      <c r="P57" s="3"/>
    </row>
    <row r="58" spans="2:16" ht="57" customHeight="1" x14ac:dyDescent="0.3">
      <c r="B58" s="29" t="s">
        <v>18</v>
      </c>
      <c r="C58" s="74" t="s">
        <v>18</v>
      </c>
      <c r="D58" s="31" t="s">
        <v>163</v>
      </c>
      <c r="E58" s="97" t="s">
        <v>134</v>
      </c>
      <c r="F58" s="84" t="s">
        <v>164</v>
      </c>
      <c r="G58" s="84" t="s">
        <v>165</v>
      </c>
      <c r="H58" s="30">
        <v>1966</v>
      </c>
      <c r="I58" s="75">
        <v>46008</v>
      </c>
      <c r="J58" s="38">
        <v>1440</v>
      </c>
      <c r="K58" s="38"/>
      <c r="L58" s="46" t="s">
        <v>115</v>
      </c>
      <c r="M58" s="42">
        <f>18+17.28+28.8</f>
        <v>64.08</v>
      </c>
      <c r="N58" s="38">
        <v>360</v>
      </c>
      <c r="O58" s="28">
        <f t="shared" si="3"/>
        <v>1800</v>
      </c>
      <c r="P58" s="3"/>
    </row>
    <row r="59" spans="2:16" ht="57" customHeight="1" x14ac:dyDescent="0.3">
      <c r="B59" s="29" t="s">
        <v>18</v>
      </c>
      <c r="C59" s="74" t="s">
        <v>38</v>
      </c>
      <c r="D59" s="31" t="s">
        <v>166</v>
      </c>
      <c r="E59" s="75">
        <v>46008</v>
      </c>
      <c r="F59" s="84" t="s">
        <v>39</v>
      </c>
      <c r="G59" s="84" t="s">
        <v>167</v>
      </c>
      <c r="H59" s="30">
        <v>1967</v>
      </c>
      <c r="I59" s="75">
        <v>46008</v>
      </c>
      <c r="J59" s="38">
        <v>0</v>
      </c>
      <c r="K59" s="38">
        <v>32154.87</v>
      </c>
      <c r="L59" s="46" t="s">
        <v>115</v>
      </c>
      <c r="M59" s="42">
        <f>1607.74+1543.43</f>
        <v>3151.17</v>
      </c>
      <c r="N59" s="38">
        <v>0</v>
      </c>
      <c r="O59" s="28">
        <f t="shared" si="3"/>
        <v>32154.87</v>
      </c>
      <c r="P59" s="3"/>
    </row>
    <row r="60" spans="2:16" ht="57" customHeight="1" x14ac:dyDescent="0.3">
      <c r="B60" s="29" t="s">
        <v>18</v>
      </c>
      <c r="C60" s="74" t="s">
        <v>18</v>
      </c>
      <c r="D60" s="31" t="s">
        <v>168</v>
      </c>
      <c r="E60" s="97" t="s">
        <v>169</v>
      </c>
      <c r="F60" s="84" t="s">
        <v>170</v>
      </c>
      <c r="G60" s="84" t="s">
        <v>171</v>
      </c>
      <c r="H60" s="30">
        <v>1968</v>
      </c>
      <c r="I60" s="75">
        <v>46009</v>
      </c>
      <c r="J60" s="38">
        <v>2560</v>
      </c>
      <c r="K60" s="38"/>
      <c r="L60" s="46" t="s">
        <v>115</v>
      </c>
      <c r="M60" s="42">
        <f>32+30.72+51.46</f>
        <v>114.18</v>
      </c>
      <c r="N60" s="38">
        <v>640</v>
      </c>
      <c r="O60" s="28">
        <f t="shared" si="3"/>
        <v>3200</v>
      </c>
      <c r="P60" s="3"/>
    </row>
    <row r="61" spans="2:16" ht="57" customHeight="1" x14ac:dyDescent="0.3">
      <c r="B61" s="29" t="s">
        <v>18</v>
      </c>
      <c r="C61" s="74" t="s">
        <v>18</v>
      </c>
      <c r="D61" s="31" t="s">
        <v>172</v>
      </c>
      <c r="E61" s="97" t="s">
        <v>134</v>
      </c>
      <c r="F61" s="84" t="s">
        <v>173</v>
      </c>
      <c r="G61" s="84" t="s">
        <v>174</v>
      </c>
      <c r="H61" s="30">
        <v>1969</v>
      </c>
      <c r="I61" s="75">
        <v>46009</v>
      </c>
      <c r="J61" s="38">
        <v>1440</v>
      </c>
      <c r="K61" s="38"/>
      <c r="L61" s="46" t="s">
        <v>115</v>
      </c>
      <c r="M61" s="42">
        <f>18+17.28+28.8</f>
        <v>64.08</v>
      </c>
      <c r="N61" s="38">
        <v>360</v>
      </c>
      <c r="O61" s="28">
        <f t="shared" si="3"/>
        <v>1800</v>
      </c>
      <c r="P61" s="3"/>
    </row>
    <row r="62" spans="2:16" ht="57" customHeight="1" x14ac:dyDescent="0.3">
      <c r="B62" s="29" t="s">
        <v>18</v>
      </c>
      <c r="C62" s="74" t="s">
        <v>18</v>
      </c>
      <c r="D62" s="31" t="s">
        <v>175</v>
      </c>
      <c r="E62" s="97" t="s">
        <v>134</v>
      </c>
      <c r="F62" s="84" t="s">
        <v>176</v>
      </c>
      <c r="G62" s="84" t="s">
        <v>177</v>
      </c>
      <c r="H62" s="30">
        <v>1970</v>
      </c>
      <c r="I62" s="75">
        <v>46009</v>
      </c>
      <c r="J62" s="38">
        <v>1440</v>
      </c>
      <c r="K62" s="38"/>
      <c r="L62" s="46" t="s">
        <v>115</v>
      </c>
      <c r="M62" s="42">
        <f>18+17.28+25.92</f>
        <v>61.2</v>
      </c>
      <c r="N62" s="38">
        <v>360</v>
      </c>
      <c r="O62" s="28">
        <f t="shared" si="3"/>
        <v>1800</v>
      </c>
      <c r="P62" s="3"/>
    </row>
    <row r="63" spans="2:16" ht="57" customHeight="1" x14ac:dyDescent="0.3">
      <c r="B63" s="29" t="s">
        <v>18</v>
      </c>
      <c r="C63" s="74" t="s">
        <v>18</v>
      </c>
      <c r="D63" s="31" t="s">
        <v>178</v>
      </c>
      <c r="E63" s="97" t="s">
        <v>134</v>
      </c>
      <c r="F63" s="84" t="s">
        <v>179</v>
      </c>
      <c r="G63" s="84" t="s">
        <v>180</v>
      </c>
      <c r="H63" s="30">
        <v>1971</v>
      </c>
      <c r="I63" s="75">
        <v>46009</v>
      </c>
      <c r="J63" s="38">
        <v>1440</v>
      </c>
      <c r="K63" s="38"/>
      <c r="L63" s="46" t="s">
        <v>115</v>
      </c>
      <c r="M63" s="42">
        <f>18+17.28+28.8</f>
        <v>64.08</v>
      </c>
      <c r="N63" s="38">
        <v>360</v>
      </c>
      <c r="O63" s="28">
        <f t="shared" si="3"/>
        <v>1800</v>
      </c>
      <c r="P63" s="3"/>
    </row>
    <row r="64" spans="2:16" ht="57" customHeight="1" x14ac:dyDescent="0.3">
      <c r="B64" s="29" t="s">
        <v>18</v>
      </c>
      <c r="C64" s="74" t="s">
        <v>18</v>
      </c>
      <c r="D64" s="31" t="s">
        <v>181</v>
      </c>
      <c r="E64" s="97" t="s">
        <v>134</v>
      </c>
      <c r="F64" s="84" t="s">
        <v>182</v>
      </c>
      <c r="G64" s="84" t="s">
        <v>183</v>
      </c>
      <c r="H64" s="30">
        <v>1972</v>
      </c>
      <c r="I64" s="75">
        <v>46009</v>
      </c>
      <c r="J64" s="38">
        <v>1440</v>
      </c>
      <c r="K64" s="38"/>
      <c r="L64" s="46" t="s">
        <v>115</v>
      </c>
      <c r="M64" s="42">
        <f>18+17.28+28.8</f>
        <v>64.08</v>
      </c>
      <c r="N64" s="38">
        <v>360</v>
      </c>
      <c r="O64" s="28">
        <f t="shared" si="3"/>
        <v>1800</v>
      </c>
      <c r="P64" s="3"/>
    </row>
    <row r="65" spans="2:18" ht="57" customHeight="1" x14ac:dyDescent="0.3">
      <c r="B65" s="29" t="s">
        <v>18</v>
      </c>
      <c r="C65" s="74" t="s">
        <v>18</v>
      </c>
      <c r="D65" s="31" t="s">
        <v>184</v>
      </c>
      <c r="E65" s="97" t="s">
        <v>134</v>
      </c>
      <c r="F65" s="84" t="s">
        <v>185</v>
      </c>
      <c r="G65" s="84" t="s">
        <v>186</v>
      </c>
      <c r="H65" s="30">
        <v>1973</v>
      </c>
      <c r="I65" s="75">
        <v>46009</v>
      </c>
      <c r="J65" s="38">
        <v>1440</v>
      </c>
      <c r="K65" s="38"/>
      <c r="L65" s="46" t="s">
        <v>115</v>
      </c>
      <c r="M65" s="42">
        <f>18+17.28+28.8</f>
        <v>64.08</v>
      </c>
      <c r="N65" s="38">
        <v>360</v>
      </c>
      <c r="O65" s="28">
        <f t="shared" si="3"/>
        <v>1800</v>
      </c>
      <c r="P65" s="3"/>
    </row>
    <row r="66" spans="2:18" ht="57" customHeight="1" x14ac:dyDescent="0.3">
      <c r="B66" s="29" t="s">
        <v>41</v>
      </c>
      <c r="C66" s="74" t="s">
        <v>41</v>
      </c>
      <c r="D66" s="31" t="s">
        <v>187</v>
      </c>
      <c r="E66" s="97" t="s">
        <v>188</v>
      </c>
      <c r="F66" s="84" t="s">
        <v>189</v>
      </c>
      <c r="G66" s="84" t="s">
        <v>190</v>
      </c>
      <c r="H66" s="30">
        <v>1974</v>
      </c>
      <c r="I66" s="75">
        <v>46009</v>
      </c>
      <c r="J66" s="38">
        <v>1440</v>
      </c>
      <c r="K66" s="38"/>
      <c r="L66" s="46" t="s">
        <v>115</v>
      </c>
      <c r="M66" s="42">
        <f>18+17.28+28.8</f>
        <v>64.08</v>
      </c>
      <c r="N66" s="38">
        <v>360</v>
      </c>
      <c r="O66" s="28">
        <f t="shared" si="3"/>
        <v>1800</v>
      </c>
      <c r="P66" s="3"/>
    </row>
    <row r="67" spans="2:18" ht="57" customHeight="1" x14ac:dyDescent="0.3">
      <c r="B67" s="29" t="s">
        <v>41</v>
      </c>
      <c r="C67" s="74" t="s">
        <v>41</v>
      </c>
      <c r="D67" s="31" t="s">
        <v>191</v>
      </c>
      <c r="E67" s="97" t="s">
        <v>188</v>
      </c>
      <c r="F67" s="84" t="s">
        <v>192</v>
      </c>
      <c r="G67" s="84" t="s">
        <v>193</v>
      </c>
      <c r="H67" s="30">
        <v>1975</v>
      </c>
      <c r="I67" s="75">
        <v>46009</v>
      </c>
      <c r="J67" s="38">
        <v>1440</v>
      </c>
      <c r="K67" s="38"/>
      <c r="L67" s="46" t="s">
        <v>115</v>
      </c>
      <c r="M67" s="42">
        <f>18+17.28+72</f>
        <v>107.28</v>
      </c>
      <c r="N67" s="38">
        <v>360</v>
      </c>
      <c r="O67" s="28">
        <f t="shared" si="3"/>
        <v>1800</v>
      </c>
      <c r="P67" s="3"/>
    </row>
    <row r="68" spans="2:18" ht="57" customHeight="1" x14ac:dyDescent="0.3">
      <c r="B68" s="29" t="s">
        <v>41</v>
      </c>
      <c r="C68" s="74" t="s">
        <v>41</v>
      </c>
      <c r="D68" s="31" t="s">
        <v>194</v>
      </c>
      <c r="E68" s="97" t="s">
        <v>195</v>
      </c>
      <c r="F68" s="84" t="s">
        <v>196</v>
      </c>
      <c r="G68" s="84" t="s">
        <v>197</v>
      </c>
      <c r="H68" s="30">
        <v>1976</v>
      </c>
      <c r="I68" s="75">
        <v>46009</v>
      </c>
      <c r="J68" s="38">
        <v>1524.16</v>
      </c>
      <c r="K68" s="38"/>
      <c r="L68" s="46" t="s">
        <v>115</v>
      </c>
      <c r="M68" s="42">
        <f>19.05+18.29+76.21+73.16</f>
        <v>186.70999999999998</v>
      </c>
      <c r="N68" s="38">
        <v>381.04</v>
      </c>
      <c r="O68" s="28">
        <f t="shared" si="3"/>
        <v>1905.2</v>
      </c>
      <c r="P68" s="3"/>
    </row>
    <row r="69" spans="2:18" ht="57" customHeight="1" x14ac:dyDescent="0.3">
      <c r="B69" s="29" t="s">
        <v>41</v>
      </c>
      <c r="C69" s="74" t="s">
        <v>41</v>
      </c>
      <c r="D69" s="31" t="s">
        <v>198</v>
      </c>
      <c r="E69" s="97" t="s">
        <v>195</v>
      </c>
      <c r="F69" s="84" t="s">
        <v>199</v>
      </c>
      <c r="G69" s="84" t="s">
        <v>200</v>
      </c>
      <c r="H69" s="30">
        <v>1977</v>
      </c>
      <c r="I69" s="75">
        <v>46009</v>
      </c>
      <c r="J69" s="38">
        <v>1524.16</v>
      </c>
      <c r="K69" s="38"/>
      <c r="L69" s="46" t="s">
        <v>115</v>
      </c>
      <c r="M69" s="42">
        <f>19.05+18.29+32.92</f>
        <v>70.260000000000005</v>
      </c>
      <c r="N69" s="38">
        <v>381.04</v>
      </c>
      <c r="O69" s="28">
        <f t="shared" si="3"/>
        <v>1905.2</v>
      </c>
      <c r="P69" s="3"/>
    </row>
    <row r="70" spans="2:18" ht="57" customHeight="1" x14ac:dyDescent="0.3">
      <c r="B70" s="29" t="s">
        <v>41</v>
      </c>
      <c r="C70" s="74" t="s">
        <v>41</v>
      </c>
      <c r="D70" s="31" t="s">
        <v>201</v>
      </c>
      <c r="E70" s="97" t="s">
        <v>195</v>
      </c>
      <c r="F70" s="84" t="s">
        <v>202</v>
      </c>
      <c r="G70" s="84" t="s">
        <v>88</v>
      </c>
      <c r="H70" s="30">
        <v>1978</v>
      </c>
      <c r="I70" s="75">
        <v>46009</v>
      </c>
      <c r="J70" s="38">
        <v>1524.16</v>
      </c>
      <c r="K70" s="38"/>
      <c r="L70" s="46" t="s">
        <v>115</v>
      </c>
      <c r="M70" s="42">
        <f>19.05+18.29+30.48</f>
        <v>67.820000000000007</v>
      </c>
      <c r="N70" s="38">
        <v>381.04</v>
      </c>
      <c r="O70" s="28">
        <f t="shared" si="3"/>
        <v>1905.2</v>
      </c>
      <c r="P70" s="3"/>
    </row>
    <row r="71" spans="2:18" ht="57" customHeight="1" x14ac:dyDescent="0.3">
      <c r="B71" s="29" t="s">
        <v>41</v>
      </c>
      <c r="C71" s="74" t="s">
        <v>41</v>
      </c>
      <c r="D71" s="31" t="s">
        <v>203</v>
      </c>
      <c r="E71" s="97" t="s">
        <v>134</v>
      </c>
      <c r="F71" s="84" t="s">
        <v>204</v>
      </c>
      <c r="G71" s="84" t="s">
        <v>205</v>
      </c>
      <c r="H71" s="30">
        <v>1979</v>
      </c>
      <c r="I71" s="75">
        <v>46009</v>
      </c>
      <c r="J71" s="38">
        <v>1440</v>
      </c>
      <c r="K71" s="38"/>
      <c r="L71" s="46" t="s">
        <v>115</v>
      </c>
      <c r="M71" s="42">
        <f>18+17.28+28.8</f>
        <v>64.08</v>
      </c>
      <c r="N71" s="38">
        <v>360</v>
      </c>
      <c r="O71" s="28">
        <f t="shared" si="3"/>
        <v>1800</v>
      </c>
      <c r="P71" s="3"/>
    </row>
    <row r="72" spans="2:18" ht="61.5" customHeight="1" x14ac:dyDescent="0.3">
      <c r="B72" s="29" t="s">
        <v>41</v>
      </c>
      <c r="C72" s="74" t="s">
        <v>41</v>
      </c>
      <c r="D72" s="76" t="s">
        <v>206</v>
      </c>
      <c r="E72" s="96">
        <v>45789</v>
      </c>
      <c r="F72" s="84" t="s">
        <v>207</v>
      </c>
      <c r="G72" s="84" t="s">
        <v>208</v>
      </c>
      <c r="H72" s="30">
        <v>1980</v>
      </c>
      <c r="I72" s="55">
        <v>46010</v>
      </c>
      <c r="J72" s="38">
        <v>1458.69</v>
      </c>
      <c r="K72" s="38"/>
      <c r="L72" s="46" t="s">
        <v>115</v>
      </c>
      <c r="M72" s="39">
        <f>18.23+17.5+70.02</f>
        <v>105.75</v>
      </c>
      <c r="N72" s="35">
        <v>364.67</v>
      </c>
      <c r="O72" s="28">
        <f>J72+K72+N72</f>
        <v>1823.3600000000001</v>
      </c>
      <c r="P72" s="3"/>
    </row>
    <row r="73" spans="2:18" ht="20.25" customHeight="1" x14ac:dyDescent="0.3">
      <c r="B73" s="12"/>
      <c r="C73" s="12"/>
      <c r="D73" s="80"/>
      <c r="E73" s="80"/>
      <c r="F73" s="80"/>
      <c r="G73" s="81"/>
      <c r="H73" s="81"/>
      <c r="I73" s="81"/>
      <c r="J73" s="71">
        <f>SUM(J6:J52)</f>
        <v>360911.37000000011</v>
      </c>
      <c r="K73" s="71">
        <f>SUM(K6:K71)</f>
        <v>501674.21</v>
      </c>
      <c r="L73" s="71">
        <f>SUM(L17:L18)</f>
        <v>0</v>
      </c>
      <c r="M73" s="71">
        <f>SUBTOTAL(9,M6:M72)</f>
        <v>54710.370000000024</v>
      </c>
      <c r="N73" s="82">
        <f>SUM(N6:N71)</f>
        <v>97074.769999999975</v>
      </c>
      <c r="O73" s="71">
        <f>SUBTOTAL(9,O6:O72)</f>
        <v>988776.19</v>
      </c>
      <c r="P73" s="3"/>
      <c r="R73" s="3"/>
    </row>
    <row r="74" spans="2:18" ht="20.25" customHeight="1" x14ac:dyDescent="0.3">
      <c r="B74" s="66"/>
      <c r="C74" s="66"/>
      <c r="D74" s="59"/>
      <c r="E74" s="59"/>
      <c r="F74" s="59"/>
      <c r="G74" s="68"/>
      <c r="H74" s="68"/>
      <c r="I74" s="68"/>
      <c r="J74" s="69"/>
      <c r="K74" s="69"/>
      <c r="L74" s="69"/>
      <c r="M74" s="69"/>
      <c r="N74" s="70"/>
      <c r="O74" s="69"/>
      <c r="P74" s="3"/>
      <c r="R74" s="3"/>
    </row>
    <row r="75" spans="2:18" ht="44.25" customHeight="1" x14ac:dyDescent="0.3">
      <c r="B75" s="43" t="s">
        <v>209</v>
      </c>
      <c r="E75"/>
      <c r="F75" s="4" t="s">
        <v>210</v>
      </c>
      <c r="H75"/>
      <c r="I75"/>
      <c r="J75" s="3"/>
      <c r="K75"/>
      <c r="L75"/>
      <c r="M75" s="3"/>
      <c r="N75" s="47"/>
      <c r="O75" s="3"/>
      <c r="P75" s="23"/>
    </row>
    <row r="76" spans="2:18" ht="60" customHeight="1" x14ac:dyDescent="0.3">
      <c r="B76" s="101" t="s">
        <v>211</v>
      </c>
      <c r="C76" s="101"/>
      <c r="E76"/>
      <c r="F76"/>
      <c r="H76"/>
      <c r="I76"/>
      <c r="J76"/>
      <c r="K76"/>
      <c r="L76"/>
      <c r="O76" s="3"/>
      <c r="P76" s="3"/>
    </row>
    <row r="77" spans="2:18" ht="24" x14ac:dyDescent="0.3">
      <c r="B77" s="22" t="s">
        <v>4</v>
      </c>
      <c r="C77" s="22" t="s">
        <v>5</v>
      </c>
      <c r="D77" s="52" t="s">
        <v>6</v>
      </c>
      <c r="E77" s="22" t="s">
        <v>7</v>
      </c>
      <c r="F77" s="22" t="s">
        <v>8</v>
      </c>
      <c r="G77" s="22" t="s">
        <v>9</v>
      </c>
      <c r="H77" s="22" t="s">
        <v>10</v>
      </c>
      <c r="I77" s="22" t="s">
        <v>11</v>
      </c>
      <c r="J77" s="22" t="s">
        <v>12</v>
      </c>
      <c r="K77" s="22" t="s">
        <v>13</v>
      </c>
      <c r="L77" s="22" t="s">
        <v>14</v>
      </c>
      <c r="M77" s="22" t="s">
        <v>15</v>
      </c>
      <c r="N77" s="48" t="s">
        <v>16</v>
      </c>
      <c r="O77" s="22" t="s">
        <v>17</v>
      </c>
    </row>
    <row r="78" spans="2:18" x14ac:dyDescent="0.3">
      <c r="B78" s="12" t="s">
        <v>212</v>
      </c>
      <c r="C78" s="12" t="s">
        <v>212</v>
      </c>
      <c r="D78" s="57" t="s">
        <v>213</v>
      </c>
      <c r="E78" s="20">
        <v>45931</v>
      </c>
      <c r="F78" s="19" t="s">
        <v>214</v>
      </c>
      <c r="G78" s="19"/>
      <c r="H78" s="13"/>
      <c r="I78" s="13"/>
      <c r="J78" s="14">
        <v>20893.599999999999</v>
      </c>
      <c r="K78" s="13"/>
      <c r="L78" s="13"/>
      <c r="M78" s="13"/>
      <c r="N78" s="49"/>
      <c r="O78" s="14">
        <f>J78</f>
        <v>20893.599999999999</v>
      </c>
    </row>
    <row r="79" spans="2:18" x14ac:dyDescent="0.3">
      <c r="B79" s="12" t="s">
        <v>212</v>
      </c>
      <c r="C79" s="12" t="s">
        <v>215</v>
      </c>
      <c r="D79" s="57" t="s">
        <v>213</v>
      </c>
      <c r="E79" s="20">
        <v>45962</v>
      </c>
      <c r="F79" s="19" t="s">
        <v>214</v>
      </c>
      <c r="G79" s="33"/>
      <c r="H79" s="15"/>
      <c r="I79" s="15"/>
      <c r="J79" s="14">
        <v>24881.200000000001</v>
      </c>
      <c r="K79" s="13"/>
      <c r="L79" s="13"/>
      <c r="M79" s="13"/>
      <c r="N79" s="49"/>
      <c r="O79" s="14">
        <f>J79</f>
        <v>24881.200000000001</v>
      </c>
    </row>
    <row r="80" spans="2:18" x14ac:dyDescent="0.3">
      <c r="B80" s="12" t="s">
        <v>212</v>
      </c>
      <c r="C80" s="12" t="s">
        <v>215</v>
      </c>
      <c r="D80" s="57" t="s">
        <v>213</v>
      </c>
      <c r="E80" s="20">
        <v>45992</v>
      </c>
      <c r="F80" s="19" t="s">
        <v>214</v>
      </c>
      <c r="G80" s="19"/>
      <c r="H80" s="13"/>
      <c r="I80" s="13"/>
      <c r="J80" s="14">
        <v>57125.120000000003</v>
      </c>
      <c r="K80" s="13"/>
      <c r="L80" s="13"/>
      <c r="M80" s="13"/>
      <c r="N80" s="49"/>
      <c r="O80" s="14">
        <f t="shared" ref="O80" si="4">J80</f>
        <v>57125.120000000003</v>
      </c>
    </row>
    <row r="81" spans="2:15" x14ac:dyDescent="0.3">
      <c r="B81" s="61"/>
      <c r="C81" s="61"/>
      <c r="D81" s="58"/>
      <c r="E81" s="16"/>
      <c r="F81" s="16"/>
      <c r="G81" s="34"/>
      <c r="H81" s="17"/>
      <c r="I81" s="17" t="s">
        <v>216</v>
      </c>
      <c r="J81" s="18">
        <f>SUM(J78:J80)</f>
        <v>102899.92000000001</v>
      </c>
      <c r="K81" s="17"/>
      <c r="L81" s="17"/>
      <c r="M81" s="17"/>
      <c r="N81" s="50"/>
      <c r="O81" s="18">
        <f>SUM(O78:O80)</f>
        <v>102899.92000000001</v>
      </c>
    </row>
    <row r="82" spans="2:15" x14ac:dyDescent="0.3">
      <c r="B82" s="66"/>
      <c r="C82" s="62"/>
      <c r="D82" s="59"/>
      <c r="E82" s="9"/>
      <c r="F82" s="9"/>
    </row>
    <row r="83" spans="2:15" ht="30" customHeight="1" x14ac:dyDescent="0.3">
      <c r="B83" s="99" t="s">
        <v>217</v>
      </c>
      <c r="C83" s="99"/>
      <c r="E83"/>
      <c r="F83"/>
    </row>
    <row r="84" spans="2:15" ht="30" customHeight="1" x14ac:dyDescent="0.3">
      <c r="B84" s="102" t="s">
        <v>218</v>
      </c>
      <c r="C84" s="103"/>
      <c r="D84" s="103"/>
      <c r="E84" s="103"/>
      <c r="F84" s="104"/>
    </row>
    <row r="85" spans="2:15" ht="20.399999999999999" x14ac:dyDescent="0.3">
      <c r="B85" s="21" t="s">
        <v>219</v>
      </c>
      <c r="C85" s="21" t="s">
        <v>220</v>
      </c>
      <c r="D85" s="53" t="s">
        <v>215</v>
      </c>
      <c r="E85" s="21" t="s">
        <v>221</v>
      </c>
      <c r="F85" s="21" t="s">
        <v>216</v>
      </c>
    </row>
    <row r="86" spans="2:15" ht="30.6" x14ac:dyDescent="0.3">
      <c r="B86" s="12" t="s">
        <v>222</v>
      </c>
      <c r="C86" s="63">
        <v>910000</v>
      </c>
      <c r="D86" s="7">
        <v>250000</v>
      </c>
      <c r="E86" s="6">
        <v>2590000</v>
      </c>
      <c r="F86" s="6">
        <f>SUM(C86:E86)</f>
        <v>3750000</v>
      </c>
    </row>
    <row r="87" spans="2:15" ht="20.399999999999999" x14ac:dyDescent="0.3">
      <c r="B87" s="12" t="s">
        <v>223</v>
      </c>
      <c r="C87" s="63">
        <v>896605.76</v>
      </c>
      <c r="D87" s="7">
        <v>231508.48000000001</v>
      </c>
      <c r="E87" s="6">
        <v>2573602.79</v>
      </c>
      <c r="F87" s="6">
        <f t="shared" ref="F87:F92" si="5">SUM(C87:E87)</f>
        <v>3701717.0300000003</v>
      </c>
    </row>
    <row r="88" spans="2:15" ht="20.399999999999999" x14ac:dyDescent="0.3">
      <c r="B88" s="12" t="s">
        <v>224</v>
      </c>
      <c r="C88" s="63">
        <v>165377.20000000001</v>
      </c>
      <c r="D88" s="7">
        <v>102899.92</v>
      </c>
      <c r="E88" s="6">
        <v>827398.99</v>
      </c>
      <c r="F88" s="6">
        <f t="shared" si="5"/>
        <v>1095676.1099999999</v>
      </c>
    </row>
    <row r="89" spans="2:15" ht="20.399999999999999" x14ac:dyDescent="0.3">
      <c r="B89" s="12" t="s">
        <v>225</v>
      </c>
      <c r="C89" s="63">
        <v>896605.76</v>
      </c>
      <c r="D89" s="7">
        <v>231508.48000000001</v>
      </c>
      <c r="E89" s="6">
        <v>2573602.79</v>
      </c>
      <c r="F89" s="6">
        <f>SUM(C89:E89)</f>
        <v>3701717.0300000003</v>
      </c>
    </row>
    <row r="90" spans="2:15" ht="20.399999999999999" x14ac:dyDescent="0.3">
      <c r="B90" s="12" t="s">
        <v>226</v>
      </c>
      <c r="C90" s="63">
        <v>0</v>
      </c>
      <c r="D90" s="7">
        <f>D86-D87</f>
        <v>18491.51999999999</v>
      </c>
      <c r="E90" s="6">
        <f>E86-E87</f>
        <v>16397.209999999963</v>
      </c>
      <c r="F90" s="6">
        <f t="shared" si="5"/>
        <v>34888.729999999952</v>
      </c>
    </row>
    <row r="91" spans="2:15" ht="20.399999999999999" x14ac:dyDescent="0.3">
      <c r="B91" s="12" t="s">
        <v>227</v>
      </c>
      <c r="C91" s="7">
        <f>C87-C89</f>
        <v>0</v>
      </c>
      <c r="D91" s="7">
        <f>D87-D89</f>
        <v>0</v>
      </c>
      <c r="E91" s="7">
        <f>E87-E89</f>
        <v>0</v>
      </c>
      <c r="F91" s="6">
        <f t="shared" si="5"/>
        <v>0</v>
      </c>
    </row>
    <row r="92" spans="2:15" ht="20.399999999999999" x14ac:dyDescent="0.3">
      <c r="B92" s="12" t="s">
        <v>228</v>
      </c>
      <c r="C92" s="63">
        <v>0</v>
      </c>
      <c r="D92" s="7">
        <v>29390.880000000001</v>
      </c>
      <c r="E92" s="6">
        <v>0</v>
      </c>
      <c r="F92" s="6">
        <f t="shared" si="5"/>
        <v>29390.880000000001</v>
      </c>
    </row>
    <row r="93" spans="2:15" ht="20.399999999999999" x14ac:dyDescent="0.3">
      <c r="B93" s="12" t="s">
        <v>229</v>
      </c>
      <c r="C93" s="64">
        <f>C89+C92</f>
        <v>896605.76</v>
      </c>
      <c r="D93" s="54">
        <f t="shared" ref="D93" si="6">D89+D92</f>
        <v>260899.36000000002</v>
      </c>
      <c r="E93" s="11">
        <f>E89+E92</f>
        <v>2573602.79</v>
      </c>
      <c r="F93" s="6">
        <f>C93+D93+E93</f>
        <v>3731107.91</v>
      </c>
    </row>
  </sheetData>
  <mergeCells count="5">
    <mergeCell ref="B2:C2"/>
    <mergeCell ref="B4:C4"/>
    <mergeCell ref="B76:C76"/>
    <mergeCell ref="B83:C83"/>
    <mergeCell ref="B84:F84"/>
  </mergeCells>
  <phoneticPr fontId="11" type="noConversion"/>
  <pageMargins left="0.511811024" right="0.511811024" top="0.78740157499999996" bottom="0.78740157499999996" header="0.31496062000000002" footer="0.31496062000000002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06223-BD71-46C2-B815-0A5C0E3E41A2}">
  <sheetPr>
    <pageSetUpPr fitToPage="1"/>
  </sheetPr>
  <dimension ref="B1:P13"/>
  <sheetViews>
    <sheetView workbookViewId="0">
      <selection activeCell="N10" sqref="N10"/>
    </sheetView>
  </sheetViews>
  <sheetFormatPr defaultRowHeight="14.4" x14ac:dyDescent="0.3"/>
  <cols>
    <col min="1" max="1" width="4.88671875" customWidth="1"/>
    <col min="2" max="2" width="24.44140625" style="2" customWidth="1"/>
    <col min="3" max="3" width="16" style="2" customWidth="1"/>
    <col min="4" max="4" width="13.109375" customWidth="1"/>
    <col min="5" max="5" width="13.6640625" style="2" customWidth="1"/>
    <col min="6" max="6" width="13.109375" style="2" customWidth="1"/>
    <col min="7" max="7" width="15.33203125" style="2" customWidth="1"/>
    <col min="8" max="9" width="8.6640625" style="2" customWidth="1"/>
    <col min="10" max="10" width="10" style="2" customWidth="1"/>
    <col min="11" max="11" width="9.44140625" style="2" customWidth="1"/>
    <col min="12" max="12" width="8.6640625" style="2" customWidth="1"/>
    <col min="13" max="13" width="8" style="2" customWidth="1"/>
    <col min="14" max="14" width="9.6640625" customWidth="1"/>
    <col min="15" max="16" width="11.5546875" style="2" customWidth="1"/>
    <col min="17" max="17" width="17.88671875" customWidth="1"/>
  </cols>
  <sheetData>
    <row r="1" spans="2:6" x14ac:dyDescent="0.3">
      <c r="B1" s="1" t="s">
        <v>0</v>
      </c>
    </row>
    <row r="2" spans="2:6" ht="36.75" customHeight="1" x14ac:dyDescent="0.3">
      <c r="B2" s="1" t="s">
        <v>217</v>
      </c>
      <c r="C2"/>
      <c r="E2"/>
      <c r="F2"/>
    </row>
    <row r="3" spans="2:6" ht="28.5" customHeight="1" x14ac:dyDescent="0.3">
      <c r="B3" s="105" t="s">
        <v>230</v>
      </c>
      <c r="C3" s="105"/>
      <c r="E3"/>
      <c r="F3"/>
    </row>
    <row r="4" spans="2:6" ht="35.25" customHeight="1" x14ac:dyDescent="0.3">
      <c r="B4" s="12" t="s">
        <v>219</v>
      </c>
      <c r="C4" s="12" t="s">
        <v>220</v>
      </c>
      <c r="D4" s="12" t="s">
        <v>215</v>
      </c>
      <c r="E4" s="12" t="s">
        <v>221</v>
      </c>
      <c r="F4" s="12" t="s">
        <v>216</v>
      </c>
    </row>
    <row r="5" spans="2:6" ht="21.75" customHeight="1" x14ac:dyDescent="0.3">
      <c r="B5" s="5" t="s">
        <v>231</v>
      </c>
      <c r="C5" s="6">
        <v>432000</v>
      </c>
      <c r="D5" s="6">
        <v>250000</v>
      </c>
      <c r="E5" s="6">
        <v>1118000</v>
      </c>
      <c r="F5" s="6">
        <f>SUM(C5:E5)</f>
        <v>1800000</v>
      </c>
    </row>
    <row r="6" spans="2:6" ht="22.5" customHeight="1" x14ac:dyDescent="0.3">
      <c r="B6" s="5" t="s">
        <v>223</v>
      </c>
      <c r="C6" s="6">
        <v>432000</v>
      </c>
      <c r="D6" s="6">
        <v>250000</v>
      </c>
      <c r="E6" s="6">
        <v>1118000</v>
      </c>
      <c r="F6" s="6">
        <f t="shared" ref="F6:F11" si="0">SUM(C6:E6)</f>
        <v>1800000</v>
      </c>
    </row>
    <row r="7" spans="2:6" ht="23.25" customHeight="1" x14ac:dyDescent="0.3">
      <c r="B7" s="5" t="s">
        <v>224</v>
      </c>
      <c r="C7" s="6">
        <v>3462.69</v>
      </c>
      <c r="D7" s="7">
        <v>19528</v>
      </c>
      <c r="E7" s="6">
        <v>0</v>
      </c>
      <c r="F7" s="6">
        <f t="shared" si="0"/>
        <v>22990.69</v>
      </c>
    </row>
    <row r="8" spans="2:6" ht="16.5" customHeight="1" x14ac:dyDescent="0.3">
      <c r="B8" s="5" t="s">
        <v>225</v>
      </c>
      <c r="C8" s="6">
        <v>3462</v>
      </c>
      <c r="D8" s="6">
        <v>19528</v>
      </c>
      <c r="E8" s="6">
        <v>0</v>
      </c>
      <c r="F8" s="6">
        <f>SUM(C8:E8)</f>
        <v>22990</v>
      </c>
    </row>
    <row r="9" spans="2:6" ht="20.25" customHeight="1" x14ac:dyDescent="0.3">
      <c r="B9" s="5" t="s">
        <v>232</v>
      </c>
      <c r="C9" s="6">
        <v>0</v>
      </c>
      <c r="D9" s="6">
        <v>0</v>
      </c>
      <c r="E9" s="6">
        <v>0</v>
      </c>
      <c r="F9" s="6">
        <f t="shared" si="0"/>
        <v>0</v>
      </c>
    </row>
    <row r="10" spans="2:6" ht="24" customHeight="1" x14ac:dyDescent="0.3">
      <c r="B10" s="5" t="s">
        <v>233</v>
      </c>
      <c r="C10" s="6">
        <v>428537.31</v>
      </c>
      <c r="D10" s="6">
        <v>230472</v>
      </c>
      <c r="E10" s="6">
        <v>1118000</v>
      </c>
      <c r="F10" s="6">
        <f t="shared" si="0"/>
        <v>1777009.31</v>
      </c>
    </row>
    <row r="11" spans="2:6" ht="21" customHeight="1" x14ac:dyDescent="0.3">
      <c r="B11" s="5" t="s">
        <v>234</v>
      </c>
      <c r="C11" s="6">
        <v>121891.32</v>
      </c>
      <c r="D11" s="6">
        <v>8334.8799999999992</v>
      </c>
      <c r="E11" s="6">
        <v>28921.8</v>
      </c>
      <c r="F11" s="6">
        <f t="shared" si="0"/>
        <v>159148</v>
      </c>
    </row>
    <row r="12" spans="2:6" ht="26.25" customHeight="1" x14ac:dyDescent="0.3">
      <c r="B12" s="5" t="s">
        <v>235</v>
      </c>
      <c r="C12" s="11">
        <f>C7+C11</f>
        <v>125354.01000000001</v>
      </c>
      <c r="D12" s="6">
        <v>27862.880000000001</v>
      </c>
      <c r="E12" s="6">
        <f>E7+E11</f>
        <v>28921.8</v>
      </c>
      <c r="F12" s="6">
        <f>C12+D12+E12</f>
        <v>182138.69</v>
      </c>
    </row>
    <row r="13" spans="2:6" x14ac:dyDescent="0.3">
      <c r="B13" s="8"/>
      <c r="C13" s="9"/>
      <c r="D13" s="10"/>
      <c r="E13" s="9"/>
      <c r="F13" s="9"/>
    </row>
  </sheetData>
  <mergeCells count="1">
    <mergeCell ref="B3:C3"/>
  </mergeCells>
  <pageMargins left="0.511811024" right="0.511811024" top="0.78740157499999996" bottom="0.78740157499999996" header="0.31496062000000002" footer="0.31496062000000002"/>
  <pageSetup paperSize="9"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a xmlns="306c6372-641f-4f58-b0c9-9b714448f138" xsi:nil="true"/>
    <TaxCatchAll xmlns="25522c09-5c4f-44a0-aaee-d1c4880bf795" xsi:nil="true"/>
    <lcf76f155ced4ddcb4097134ff3c332f xmlns="306c6372-641f-4f58-b0c9-9b714448f13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9EC7224CD7C434B8DA1BB4287D8EDD6" ma:contentTypeVersion="17" ma:contentTypeDescription="Crie um novo documento." ma:contentTypeScope="" ma:versionID="5cda3aff073f950fe2558e2c7f7fb77e">
  <xsd:schema xmlns:xsd="http://www.w3.org/2001/XMLSchema" xmlns:xs="http://www.w3.org/2001/XMLSchema" xmlns:p="http://schemas.microsoft.com/office/2006/metadata/properties" xmlns:ns2="306c6372-641f-4f58-b0c9-9b714448f138" xmlns:ns3="25522c09-5c4f-44a0-aaee-d1c4880bf795" targetNamespace="http://schemas.microsoft.com/office/2006/metadata/properties" ma:root="true" ma:fieldsID="de5949cb7ff0089441b0d6e91b6727fb" ns2:_="" ns3:_="">
    <xsd:import namespace="306c6372-641f-4f58-b0c9-9b714448f138"/>
    <xsd:import namespace="25522c09-5c4f-44a0-aaee-d1c4880bf7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c6372-641f-4f58-b0c9-9b714448f1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Data" ma:index="11" nillable="true" ma:displayName="Data" ma:format="DateOnly" ma:internalName="Data">
      <xsd:simpleType>
        <xsd:restriction base="dms:DateTim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Marcações de imagem" ma:readOnly="false" ma:fieldId="{5cf76f15-5ced-4ddc-b409-7134ff3c332f}" ma:taxonomyMulti="true" ma:sspId="630bc7b3-38f3-4a89-a050-e06274c338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522c09-5c4f-44a0-aaee-d1c4880bf79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aef6b3cf-a250-47dd-83dc-b91795278fc1}" ma:internalName="TaxCatchAll" ma:showField="CatchAllData" ma:web="25522c09-5c4f-44a0-aaee-d1c4880bf7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053B20-ED0F-41D1-B867-4D30BAA76FDB}">
  <ds:schemaRefs>
    <ds:schemaRef ds:uri="http://schemas.microsoft.com/office/2006/metadata/properties"/>
    <ds:schemaRef ds:uri="http://schemas.microsoft.com/office/infopath/2007/PartnerControls"/>
    <ds:schemaRef ds:uri="306c6372-641f-4f58-b0c9-9b714448f138"/>
    <ds:schemaRef ds:uri="25522c09-5c4f-44a0-aaee-d1c4880bf795"/>
  </ds:schemaRefs>
</ds:datastoreItem>
</file>

<file path=customXml/itemProps2.xml><?xml version="1.0" encoding="utf-8"?>
<ds:datastoreItem xmlns:ds="http://schemas.openxmlformats.org/officeDocument/2006/customXml" ds:itemID="{D2957D1C-9F19-488C-9F8B-286070D65D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F0C913-37EC-4CC6-8EDD-D518454F21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6c6372-641f-4f58-b0c9-9b714448f138"/>
    <ds:schemaRef ds:uri="25522c09-5c4f-44a0-aaee-d1c4880bf7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KLIMT E DODF -ANEXO I</vt:lpstr>
      <vt:lpstr> RESUMO - ANEXO II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Mariana Franke Viegas</dc:creator>
  <cp:keywords/>
  <dc:description/>
  <cp:lastModifiedBy>Leonardo Matos de Souza</cp:lastModifiedBy>
  <cp:revision/>
  <dcterms:created xsi:type="dcterms:W3CDTF">2020-01-14T19:59:01Z</dcterms:created>
  <dcterms:modified xsi:type="dcterms:W3CDTF">2026-01-15T21:39:47Z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0x01010049EC7224CD7C434B8DA1BB4287D8EDD6</vt:lpwstr>
  </property>
  <property fmtid="{D5CDD505-2E9C-101B-9397-08002B2CF9AE}" pid="3" name="MediaServiceImageTags">
    <vt:lpwstr/>
  </property>
</Properties>
</file>