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Holanda\Documents\"/>
    </mc:Choice>
  </mc:AlternateContent>
  <xr:revisionPtr revIDLastSave="0" documentId="13_ncr:1_{2EB1C7AC-84C2-4DCB-B51D-EBB5C143A931}" xr6:coauthVersionLast="47" xr6:coauthVersionMax="47" xr10:uidLastSave="{00000000-0000-0000-0000-000000000000}"/>
  <bookViews>
    <workbookView xWindow="-28920" yWindow="-120" windowWidth="29040" windowHeight="15720" xr2:uid="{5CA7443E-1ECD-46B2-A2B9-D99780B83705}"/>
  </bookViews>
  <sheets>
    <sheet name="KLIMT E DODF -ANEXO I" sheetId="1" r:id="rId1"/>
    <sheet name=" RESUMO - ANEXO II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5" i="1" l="1"/>
  <c r="M54" i="1"/>
  <c r="M6" i="1"/>
  <c r="M72" i="1"/>
  <c r="M66" i="1"/>
  <c r="M74" i="1"/>
  <c r="K74" i="1"/>
  <c r="J74" i="1"/>
  <c r="O74" i="1"/>
  <c r="N74" i="1"/>
  <c r="M53" i="1"/>
  <c r="O52" i="1"/>
  <c r="M52" i="1"/>
  <c r="M71" i="1"/>
  <c r="O71" i="1"/>
  <c r="O70" i="1"/>
  <c r="M70" i="1"/>
  <c r="O68" i="1"/>
  <c r="O69" i="1"/>
  <c r="O67" i="1"/>
  <c r="M69" i="1"/>
  <c r="M60" i="1"/>
  <c r="M58" i="1"/>
  <c r="M57" i="1"/>
  <c r="O60" i="1"/>
  <c r="O59" i="1"/>
  <c r="O58" i="1"/>
  <c r="O57" i="1"/>
  <c r="O61" i="1"/>
  <c r="M61" i="1"/>
  <c r="M12" i="1"/>
  <c r="M11" i="1"/>
  <c r="M10" i="1"/>
  <c r="O10" i="1"/>
  <c r="M9" i="1"/>
  <c r="M8" i="1"/>
  <c r="M7" i="1"/>
  <c r="O12" i="1"/>
  <c r="O11" i="1"/>
  <c r="O9" i="1"/>
  <c r="O8" i="1"/>
  <c r="O7" i="1"/>
  <c r="O6" i="1"/>
  <c r="M13" i="1"/>
  <c r="O56" i="1"/>
  <c r="O55" i="1"/>
  <c r="O73" i="1"/>
  <c r="O72" i="1"/>
  <c r="M68" i="1"/>
  <c r="M67" i="1"/>
  <c r="M65" i="1"/>
  <c r="M64" i="1"/>
  <c r="M63" i="1"/>
  <c r="M62" i="1"/>
  <c r="O66" i="1"/>
  <c r="O65" i="1"/>
  <c r="O64" i="1"/>
  <c r="O63" i="1"/>
  <c r="O62" i="1"/>
  <c r="J81" i="1"/>
  <c r="M51" i="1"/>
  <c r="M50" i="1"/>
  <c r="M49" i="1"/>
  <c r="M48" i="1"/>
  <c r="O51" i="1"/>
  <c r="O50" i="1"/>
  <c r="O49" i="1"/>
  <c r="O47" i="1"/>
  <c r="M47" i="1"/>
  <c r="M46" i="1"/>
  <c r="M45" i="1"/>
  <c r="M44" i="1"/>
  <c r="M43" i="1"/>
  <c r="M42" i="1"/>
  <c r="M41" i="1"/>
  <c r="M40" i="1"/>
  <c r="M39" i="1"/>
  <c r="O48" i="1"/>
  <c r="O46" i="1"/>
  <c r="O45" i="1"/>
  <c r="O44" i="1"/>
  <c r="O43" i="1"/>
  <c r="O42" i="1"/>
  <c r="O40" i="1"/>
  <c r="M38" i="1"/>
  <c r="M37" i="1"/>
  <c r="M36" i="1"/>
  <c r="M35" i="1"/>
  <c r="M34" i="1"/>
  <c r="O13" i="1"/>
  <c r="M33" i="1"/>
  <c r="M32" i="1"/>
  <c r="M30" i="1"/>
  <c r="M31" i="1"/>
  <c r="O29" i="1"/>
  <c r="M29" i="1"/>
  <c r="M28" i="1"/>
  <c r="O28" i="1"/>
  <c r="O30" i="1"/>
  <c r="M27" i="1"/>
  <c r="M26" i="1"/>
  <c r="O41" i="1"/>
  <c r="O39" i="1"/>
  <c r="O38" i="1"/>
  <c r="O37" i="1"/>
  <c r="O36" i="1"/>
  <c r="O35" i="1"/>
  <c r="O34" i="1"/>
  <c r="O33" i="1"/>
  <c r="O32" i="1"/>
  <c r="O31" i="1"/>
  <c r="M25" i="1"/>
  <c r="M24" i="1"/>
  <c r="M23" i="1"/>
  <c r="O22" i="1"/>
  <c r="M18" i="1"/>
  <c r="M22" i="1"/>
  <c r="M21" i="1"/>
  <c r="M19" i="1"/>
  <c r="M20" i="1"/>
  <c r="O19" i="1"/>
  <c r="O17" i="1"/>
  <c r="O16" i="1"/>
  <c r="O15" i="1"/>
  <c r="M16" i="1"/>
  <c r="O27" i="1"/>
  <c r="O26" i="1"/>
  <c r="O25" i="1"/>
  <c r="O24" i="1"/>
  <c r="O23" i="1"/>
  <c r="O21" i="1"/>
  <c r="O20" i="1"/>
  <c r="O18" i="1"/>
  <c r="M17" i="1"/>
  <c r="O14" i="1"/>
  <c r="M15" i="1"/>
  <c r="M14" i="1"/>
  <c r="E91" i="1"/>
  <c r="D91" i="1"/>
  <c r="C91" i="1"/>
  <c r="O79" i="1"/>
  <c r="L74" i="1"/>
  <c r="E90" i="1"/>
  <c r="D90" i="1"/>
  <c r="E93" i="1" l="1"/>
  <c r="D93" i="1"/>
  <c r="C93" i="1"/>
  <c r="F93" i="1" l="1"/>
  <c r="F92" i="1"/>
  <c r="F91" i="1"/>
  <c r="F90" i="1"/>
  <c r="F89" i="1"/>
  <c r="F88" i="1"/>
  <c r="F87" i="1"/>
  <c r="F86" i="1"/>
  <c r="F12" i="3"/>
  <c r="E12" i="3"/>
  <c r="C12" i="3"/>
  <c r="F11" i="3"/>
  <c r="F10" i="3"/>
  <c r="F9" i="3"/>
  <c r="F8" i="3"/>
  <c r="F7" i="3"/>
  <c r="F6" i="3"/>
  <c r="F5" i="3"/>
  <c r="O80" i="1"/>
  <c r="O78" i="1"/>
  <c r="O81" i="1" s="1"/>
</calcChain>
</file>

<file path=xl/sharedStrings.xml><?xml version="1.0" encoding="utf-8"?>
<sst xmlns="http://schemas.openxmlformats.org/spreadsheetml/2006/main" count="459" uniqueCount="229">
  <si>
    <t>ANEXO I</t>
  </si>
  <si>
    <t>1. DEMONSTRATIVO DE GASTOS COM PUBLICIDADE E PROPAGANDA - SEGUNDO TRIMESTRE 2025</t>
  </si>
  <si>
    <t>1.1.1 AGÊNCIA: KLIMT AGÊNCIA DE PUBLICIDADE, CNPJ: 10.365.754/0001-07</t>
  </si>
  <si>
    <t>FINALIDADE</t>
  </si>
  <si>
    <t>CAMPANHA</t>
  </si>
  <si>
    <t>VEÍCULO</t>
  </si>
  <si>
    <t>PERÍODO DE EXECUÇÃO</t>
  </si>
  <si>
    <t>SUBCONTRATADO</t>
  </si>
  <si>
    <t>CNPJ</t>
  </si>
  <si>
    <t>NF AGÊNCIA</t>
  </si>
  <si>
    <t>DT EMISSÃO</t>
  </si>
  <si>
    <t>VEICULAÇÃO (a)</t>
  </si>
  <si>
    <t>PRODUÇÃO (b)</t>
  </si>
  <si>
    <t>GLOSAS (c)</t>
  </si>
  <si>
    <t>TRIBUTOS (d)</t>
  </si>
  <si>
    <t>COMISSÃO DA AGÊNCIA (e)</t>
  </si>
  <si>
    <t>TOTAL DESPESA (a+b-c+e)</t>
  </si>
  <si>
    <t>INSTITUCIONAL</t>
  </si>
  <si>
    <t>Produção de Placas Gota</t>
  </si>
  <si>
    <t>ABSOLUTE COMUNICACAO E COMERCIO LTDA</t>
  </si>
  <si>
    <t>13.813.782/0001-20</t>
  </si>
  <si>
    <t>Produção de VT Utilidade Pública Dia Mundial da Água</t>
  </si>
  <si>
    <t>BRIGADEIRO BENTES PRODUCOES LTDA</t>
  </si>
  <si>
    <t>22.493.404/0001-05</t>
  </si>
  <si>
    <t>UTILIDADE PUBLICA</t>
  </si>
  <si>
    <t>PRODUÇÃO DE SPOT 30S DIA MUNDIAL DA ÁGUA</t>
  </si>
  <si>
    <t>CENTELHA COMUNICACAO LTDA</t>
  </si>
  <si>
    <t>40.518.356/0001-36</t>
  </si>
  <si>
    <t>Produção de 01 Videocase de até 2 minutos</t>
  </si>
  <si>
    <t>MOLIVE PRODUCOES AUDIOVISUAIS LTDA</t>
  </si>
  <si>
    <t>39.226.435/0001-94</t>
  </si>
  <si>
    <t>Produção de Caixa Quiz</t>
  </si>
  <si>
    <t>ELISON DA CONCEICAO ANTUNES MENEZES</t>
  </si>
  <si>
    <t>40.566.417/0001-30</t>
  </si>
  <si>
    <t>Produção de Folders</t>
  </si>
  <si>
    <t>"Produção de Vídeos relatoria mensal</t>
  </si>
  <si>
    <t>SAYMON WILLIAMS RODRIGUES SIMOES FARIAS</t>
  </si>
  <si>
    <t>60.072.108/0001-11</t>
  </si>
  <si>
    <t>Dia Mundial da Água 2025</t>
  </si>
  <si>
    <t>'Veiculação "Circuito Fechado Octagono Rodoviária - Conforme PI: 765</t>
  </si>
  <si>
    <t>18/03 a 24/03/2025</t>
  </si>
  <si>
    <t>GESTAO PUBLICIDADE LTDA</t>
  </si>
  <si>
    <t>22.108.168/0001-58</t>
  </si>
  <si>
    <t>"Veiculação outdoor - 6 placas e zona rural do DF" - Conforme PI: 754</t>
  </si>
  <si>
    <t>12.03.2025 A 23.03.2025</t>
  </si>
  <si>
    <t>ANUNCIART VEICULOS DE PUBLICIDADE LTDA</t>
  </si>
  <si>
    <t>02.683.230/0001-28</t>
  </si>
  <si>
    <t>'Veiculação Rádio Metrópoles" -Conforme PI: 756</t>
  </si>
  <si>
    <t>13/03 a 22/03/2025</t>
  </si>
  <si>
    <t>Cerrado Mix Comunicacao e Producao LTDA</t>
  </si>
  <si>
    <t>02.311.600/0001-04</t>
  </si>
  <si>
    <t>Veiculação Blog do Callado - Conforme PI: 768</t>
  </si>
  <si>
    <t>19 a 22/03/2025</t>
  </si>
  <si>
    <t>AGENCIA PALEAR - COMUNICACAO, PUBLICIDADE E CONSULTORIA LTDA</t>
  </si>
  <si>
    <t>08.406.032/0001-01</t>
  </si>
  <si>
    <t>Veiculação Blog Bomba Bomba - Conforme PI: 769</t>
  </si>
  <si>
    <t>ATIVAMENTE ACOMPANHAMENTO E SERVICOS LTDA</t>
  </si>
  <si>
    <t>12.394.932/0001-45</t>
  </si>
  <si>
    <t>Veiculação Blog Tudo Ok Notícias - Conforme PI: 770</t>
  </si>
  <si>
    <t>JOSIEL FERREIRA COMUNICACOES - AGENCIA COMUNICACAO TUDO OK</t>
  </si>
  <si>
    <t>11.245.114/0001-18</t>
  </si>
  <si>
    <t>Veiculação Blog Misto Brasília - Conforme PI: 771</t>
  </si>
  <si>
    <t>MB MIDIA E COMUNICACOES LTDA</t>
  </si>
  <si>
    <t>54.310.076/0001-42</t>
  </si>
  <si>
    <t>Veiculação Blog Jornal do Guará - Conforme PI: 772</t>
  </si>
  <si>
    <t>MARIA COMUNICACAO E TURISMO LTDA</t>
  </si>
  <si>
    <t>72.590.763/0001-40</t>
  </si>
  <si>
    <t>Veiculação Blog BSB 1 - Conforme PI: 773</t>
  </si>
  <si>
    <t>A. A. DOS SANTOS PUBLICIDADE MARKETING E NOTICIAS ME</t>
  </si>
  <si>
    <t>15.434.320/0001-27</t>
  </si>
  <si>
    <t>Veiculação Saúde e Direitos Sociais - Conforme PI: 774</t>
  </si>
  <si>
    <t>PROVEDOR DE NOTICIAS SAUDE E DIREITOS SOCIAIS LTDA</t>
  </si>
  <si>
    <t>22.969.066/0001-27</t>
  </si>
  <si>
    <t>Veiculação Blog Foco Nacional - Conforme PI: 775</t>
  </si>
  <si>
    <t>INOVA GESTAO - CONSULTORIA E COMUNICACAO LTDA</t>
  </si>
  <si>
    <t>13.913.044/0001-54</t>
  </si>
  <si>
    <t>Veiculação Blog Informa Tudo DF - Conforme PI: 776</t>
  </si>
  <si>
    <t>INFORMA TUDO DF LTDA</t>
  </si>
  <si>
    <t>22.559.374/0001-84</t>
  </si>
  <si>
    <t>Veiculação Blog Visite Brasília - Conforme PI: 777</t>
  </si>
  <si>
    <t>Luiz Eduardo Passeado Barbosa Servicos Administrativos ME</t>
  </si>
  <si>
    <t>07.109.194/0001-07</t>
  </si>
  <si>
    <t>Veiculação Blog Fogo Cruzado DF - Conforme PI: 778</t>
  </si>
  <si>
    <t>Ana Claudia Martins Santos ME - Jornal Fogo Cruzado DF"</t>
  </si>
  <si>
    <t>17.726.908/0001-80</t>
  </si>
  <si>
    <t>Veiculação Blog Conectado ao Poder - Conforme PI: 779</t>
  </si>
  <si>
    <t>OPINIAO COMUNICACAO - EMPRESA DE SERVICOS LTDA</t>
  </si>
  <si>
    <t>18.409.455/0001-20</t>
  </si>
  <si>
    <t>Veiculação Blog Revista Plano B - Conforme PI: 780</t>
  </si>
  <si>
    <t>Revista Plano B Ltda</t>
  </si>
  <si>
    <t>48.876.804/0001-85</t>
  </si>
  <si>
    <t>Veiculação Blog Politica Real - Conforme PI: 781</t>
  </si>
  <si>
    <t xml:space="preserve"> POLITICA REAL LTDA</t>
  </si>
  <si>
    <t>04.997.316/0001-50</t>
  </si>
  <si>
    <t>Veiculação Blog Política Distrital - Conforme PI: 782</t>
  </si>
  <si>
    <t>"VW PRODUCAO AUDIOVISUAL E COMUNICACAO EMPRESARIAL LTDA"</t>
  </si>
  <si>
    <t>12.135.077/0001-58</t>
  </si>
  <si>
    <t>Veiculação Blog A Politica e o Poder - Conforme PI: 783</t>
  </si>
  <si>
    <t>GB EDICAO DE JORNAL DIARIO LTDA</t>
  </si>
  <si>
    <t>26.992.003/0001-42</t>
  </si>
  <si>
    <t>Veiculação Blog Por Brasília - Conforme PI: 784</t>
  </si>
  <si>
    <t>INOVAR SERVICOS DE INFORMACAO LTDA</t>
  </si>
  <si>
    <t>09.178.647/0001-82</t>
  </si>
  <si>
    <t>Veiculação Blog Espaço da Mulher - Conforme PI: 785</t>
  </si>
  <si>
    <t>A &amp; A NEVES COMUNICACAO EDITORA E GRAFICA LTDA</t>
  </si>
  <si>
    <t>37.978.269/0001-57</t>
  </si>
  <si>
    <t>Veiculação Blog da Zuleika - Conforme PI: 786</t>
  </si>
  <si>
    <t>ZULEIKA APARECIDA LOPES ME</t>
  </si>
  <si>
    <t>06.957.271/0001-16</t>
  </si>
  <si>
    <t>Veiculação Blog Olho news - Conforme PI: 787</t>
  </si>
  <si>
    <t>Olho News Servicos de Comunicacao Ltda</t>
  </si>
  <si>
    <t>33.059.226/0001-17</t>
  </si>
  <si>
    <t>Veiculação Blog Brazil mulher - Conforme PI: 788</t>
  </si>
  <si>
    <t>BRAZIL MULHER PORTAL DE NOTICIAS, CURSOS E CAPACITACAO PROFISSIONAL LTDA</t>
  </si>
  <si>
    <t>07.318.755/0001-88</t>
  </si>
  <si>
    <t>Veiculação Blog Egnews - Conforme PI: 790</t>
  </si>
  <si>
    <t>EG NEWS LTDA</t>
  </si>
  <si>
    <t>04.058.259/0001-44</t>
  </si>
  <si>
    <t>Veiculação Blog do emicles - Conforme PI: 791</t>
  </si>
  <si>
    <t>SOBRADINHO NOTICIAS LTDA ME</t>
  </si>
  <si>
    <t>37.104.866/0001-52</t>
  </si>
  <si>
    <t>Veiculação Blog do PA - Conforme PI: 792</t>
  </si>
  <si>
    <t>JOANEMARIA A PEREIRA</t>
  </si>
  <si>
    <t>37.347.658/0001-84</t>
  </si>
  <si>
    <t>Veiculação Blog do Cafézinho - Conforme PI: 793</t>
  </si>
  <si>
    <t>VOU LA COMUNICACAO E PORTAIS DE INTERNET LTDA</t>
  </si>
  <si>
    <t>40.203.149/0001-92</t>
  </si>
  <si>
    <t>Veiculação Blog Informando e Detonando - Conforme PI: 794</t>
  </si>
  <si>
    <t>SERGIO LUIZ PEREIRA DO REGO</t>
  </si>
  <si>
    <t>21.891.146/0001-44</t>
  </si>
  <si>
    <t>Veiculação Blog Bsb Times - Conforme PI: 795</t>
  </si>
  <si>
    <t>ROGERIO CIRINO PRODUCOES ARTISTICAS LTDA</t>
  </si>
  <si>
    <t>24.397.463/0001-05</t>
  </si>
  <si>
    <t>Veiculação Blog E DI BRASÍLIA - Conforme PI: 796</t>
  </si>
  <si>
    <t>E di Brasilia Comunicacao Ltda</t>
  </si>
  <si>
    <t>35.825.568/0001-26</t>
  </si>
  <si>
    <t>Veiculação Blog Samambaia Online - Conforme PI: 797</t>
  </si>
  <si>
    <t>SAMAMBAIA ON LINE LTDA</t>
  </si>
  <si>
    <t>44.662.501/0001-09</t>
  </si>
  <si>
    <t>Veiculação Blog Agenda Capital - Conforme PI: 798</t>
  </si>
  <si>
    <t>TEAR TECNOLOGIA DA INFORMAÇÃO LTDA</t>
  </si>
  <si>
    <t>19.069.992/0001-31</t>
  </si>
  <si>
    <t>Veiculação Blog Doa a quem doer - Conforme PI: 799</t>
  </si>
  <si>
    <t>BSB NEWS COMUNICACAO DIGITAL LTDA</t>
  </si>
  <si>
    <t>12.486.873/0001-35</t>
  </si>
  <si>
    <t>Veiculação Blog Radar Digital - Conforme PI: 800</t>
  </si>
  <si>
    <t>GSS REPRESENTACOES MARKETING E CONSULTORIA EMPRESARIAL LTDA</t>
  </si>
  <si>
    <t>44.221.776/0001-07</t>
  </si>
  <si>
    <t>Veiculação Blog Atualidade Política - Conforme PI: 801</t>
  </si>
  <si>
    <t>Atualidade Politica Comunicacao e Marketing Digital Ltda</t>
  </si>
  <si>
    <t>30.621.782/0001-47</t>
  </si>
  <si>
    <t>Veiculação Blog Dia da Notícia - Conforme PI: 802</t>
  </si>
  <si>
    <t>DIA DA NOTICIA COMUNICACAO ON LINE LTDA</t>
  </si>
  <si>
    <t>06.189.522/0001-60</t>
  </si>
  <si>
    <t>PORTAL FOLHA DO MEIO AMBIENTE - Conforme PI: 766</t>
  </si>
  <si>
    <t>FOLHA DO MEIO AMBIENTE - CULTURA VIVA, EDITORA LTDA</t>
  </si>
  <si>
    <t>33.515.438/0001-61</t>
  </si>
  <si>
    <t>Veiculação impulsionamento - Conforme PI: 764</t>
  </si>
  <si>
    <t>17 a 24/03/2025</t>
  </si>
  <si>
    <t>WAYS DIGITAL AGENCIA DE MARKETING LTDA</t>
  </si>
  <si>
    <t>47.436.058/0001-46</t>
  </si>
  <si>
    <t>Criação - Relatórios e Placa comemorativa</t>
  </si>
  <si>
    <t>KLIMT - AGENCIA DE PUBLICIDADE LTDA</t>
  </si>
  <si>
    <t>10.365.754/0001-07</t>
  </si>
  <si>
    <t>Criação - diversos</t>
  </si>
  <si>
    <t>Produção papel outdoor</t>
  </si>
  <si>
    <t>RG MIDIA OUTDOOR E GRAFICA LTDA</t>
  </si>
  <si>
    <t>8.929.655/0001-75</t>
  </si>
  <si>
    <t>Veiculação Rádio Sucesso News FM - Conforme PI: 767</t>
  </si>
  <si>
    <t>RC RADIODIFUSAO LTDA</t>
  </si>
  <si>
    <t>44.586.247/0001-07</t>
  </si>
  <si>
    <t xml:space="preserve"> Produção de Adesivação Elevadores Adasa</t>
  </si>
  <si>
    <t>Produção de Kits - Caixa + Agenda + Caneta</t>
  </si>
  <si>
    <t>GRAFICA E EDITORA MOVIMENTO LTDA</t>
  </si>
  <si>
    <t>08.220.275/0001-42</t>
  </si>
  <si>
    <t>Produção de Porta Retrato em acrílico e LED</t>
  </si>
  <si>
    <t>Produção de Chaveiros Mina</t>
  </si>
  <si>
    <t>REMAR COMERCIO IMPORTACAO EXPORTACAO E PRESTACAO DE SERVICOS DE INFORMATICA LTDA</t>
  </si>
  <si>
    <t>14.990.640/0001-09</t>
  </si>
  <si>
    <t>Produção de SPOT 30s</t>
  </si>
  <si>
    <t>RGB PRODUCAO, COMUNICACAO, LOCACAO DE EQUIPAMENTOS E MARKETING LTDA</t>
  </si>
  <si>
    <t>46.008.529/0001-52</t>
  </si>
  <si>
    <t>Produção de Vídeo</t>
  </si>
  <si>
    <t>60.653.138/0001-11</t>
  </si>
  <si>
    <t>"Circuito Fechado Octagono Rodoviária - Conforme PI: 843</t>
  </si>
  <si>
    <t xml:space="preserve"> 02.311.600/0001-04</t>
  </si>
  <si>
    <t>Veiculação Veiculação Paineis LED - Conforme PI: 845</t>
  </si>
  <si>
    <t>LEDME ALUGUEL DE PAINEIS PUBLICITÁRIOS LTDA</t>
  </si>
  <si>
    <t>10.276.433/0001-28</t>
  </si>
  <si>
    <t>Veiculação Rádio Metrópoles - Conforme PI: 851</t>
  </si>
  <si>
    <t>Veiculação Rádio Sucesso News FM - Conforme PI: 847</t>
  </si>
  <si>
    <t>Veiculação Rádio Jovem Pan - Conforme PI: 849</t>
  </si>
  <si>
    <t>JOVEM PAN DIGITAL BRASÍLIA LTDA</t>
  </si>
  <si>
    <t>44.210.051/0001-13</t>
  </si>
  <si>
    <t>Veiculação Rádio JK - Conforme PI: 853</t>
  </si>
  <si>
    <t>Rádio JK FM LTDA</t>
  </si>
  <si>
    <t>02.373.790/0001-86</t>
  </si>
  <si>
    <t>Veiculação impulsionamento Redes/mídias sociais - Conforme PI: 841</t>
  </si>
  <si>
    <t>Roteiro para filme/VT (por segundo)</t>
  </si>
  <si>
    <t>Produção de Kits - Caixa + Caneta + blocos</t>
  </si>
  <si>
    <t>Produção de Envelope Plástico para Chaveiro</t>
  </si>
  <si>
    <t>TOTAL</t>
  </si>
  <si>
    <t>1.2 Contrato nº 57/2015</t>
  </si>
  <si>
    <t xml:space="preserve"> </t>
  </si>
  <si>
    <t>1.2.1 CONTRATADO: Secretaria de Estado da Casa Civil-  CNPJ 09.639.459/0001-05</t>
  </si>
  <si>
    <t>Publicidade legal</t>
  </si>
  <si>
    <t>DODF</t>
  </si>
  <si>
    <t>NÃO</t>
  </si>
  <si>
    <t>Publicidade Legal</t>
  </si>
  <si>
    <t>ANEXO II</t>
  </si>
  <si>
    <t>2. RESUMO GERAL - SALDOS E DESPESAS COM PUBLICIDADE LIQUIDADAS no 2º TRIMESTRE DE 2025</t>
  </si>
  <si>
    <t>RESUMO GERAL</t>
  </si>
  <si>
    <t>Publicidade Institucional</t>
  </si>
  <si>
    <t>Publicidade de Utilidade Pública</t>
  </si>
  <si>
    <t>1. Dotação Orçamentária  Autorizada (2024)</t>
  </si>
  <si>
    <t>2. Empenhado (até o trimeste)</t>
  </si>
  <si>
    <t>3a. Liquidado (no trimestre)</t>
  </si>
  <si>
    <t>3b. Liquidado acumulado</t>
  </si>
  <si>
    <t>4. Crédito Orç. Disponível (2024)</t>
  </si>
  <si>
    <t>5. Saldo de empenho 2025</t>
  </si>
  <si>
    <t>6. Restos à Pagar RP(2024) acumulado</t>
  </si>
  <si>
    <t>7. Total liquidado 2025 com RP (2024)</t>
  </si>
  <si>
    <t>2. RESUMO GERAL - SALDOS E DESPESAS COM PUBLICIDADE LIQUIDADAS no 1º TRIMESTRE DE 2021</t>
  </si>
  <si>
    <t>1. Dotação Orçamentária (2020)</t>
  </si>
  <si>
    <t>4. Crédito Orç. Disponível (2020)</t>
  </si>
  <si>
    <t>5. Saldo de empenho 2020</t>
  </si>
  <si>
    <t>6. Restos à Pagar RP(2019) acumulado</t>
  </si>
  <si>
    <t>7. Total liquidado 2020 com RP (2019)</t>
  </si>
  <si>
    <t xml:space="preserve">1.1 Contrato nº:  03/2025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</si>
</sst>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</font>
    <font>
      <sz val="8"/>
      <name val="Calibri"/>
      <family val="2"/>
      <scheme val="minor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4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43" fontId="0" fillId="0" borderId="0" xfId="0" applyNumberFormat="1"/>
    <xf numFmtId="4" fontId="0" fillId="0" borderId="0" xfId="0" applyNumberFormat="1"/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justify" vertical="center" wrapText="1"/>
    </xf>
    <xf numFmtId="43" fontId="4" fillId="0" borderId="1" xfId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43" fontId="4" fillId="0" borderId="1" xfId="0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4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justify" wrapText="1"/>
    </xf>
    <xf numFmtId="0" fontId="4" fillId="0" borderId="2" xfId="0" applyFont="1" applyBorder="1" applyAlignment="1">
      <alignment horizontal="justify" wrapText="1"/>
    </xf>
    <xf numFmtId="0" fontId="6" fillId="0" borderId="2" xfId="0" applyFont="1" applyBorder="1" applyAlignment="1">
      <alignment horizontal="justify" wrapText="1"/>
    </xf>
    <xf numFmtId="4" fontId="6" fillId="0" borderId="2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17" fontId="4" fillId="0" borderId="1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0" borderId="0" xfId="0" applyFont="1"/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43" fontId="7" fillId="0" borderId="5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4" fontId="4" fillId="0" borderId="1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wrapText="1"/>
    </xf>
    <xf numFmtId="14" fontId="14" fillId="0" borderId="9" xfId="0" applyNumberFormat="1" applyFont="1" applyBorder="1" applyAlignment="1">
      <alignment horizontal="center" wrapText="1"/>
    </xf>
    <xf numFmtId="0" fontId="14" fillId="0" borderId="9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5" fillId="0" borderId="11" xfId="0" applyFont="1" applyBorder="1" applyAlignment="1">
      <alignment wrapText="1"/>
    </xf>
    <xf numFmtId="14" fontId="5" fillId="0" borderId="1" xfId="0" applyNumberFormat="1" applyFont="1" applyBorder="1" applyAlignment="1">
      <alignment horizontal="center" wrapText="1"/>
    </xf>
    <xf numFmtId="0" fontId="5" fillId="0" borderId="11" xfId="0" applyFont="1" applyBorder="1" applyAlignment="1">
      <alignment horizontal="left" wrapText="1"/>
    </xf>
    <xf numFmtId="0" fontId="5" fillId="0" borderId="1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3" fontId="4" fillId="2" borderId="1" xfId="0" applyNumberFormat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14" fontId="5" fillId="0" borderId="7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14" fontId="5" fillId="0" borderId="1" xfId="0" applyNumberFormat="1" applyFont="1" applyBorder="1" applyAlignment="1">
      <alignment wrapText="1"/>
    </xf>
    <xf numFmtId="43" fontId="4" fillId="0" borderId="9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43" fontId="4" fillId="2" borderId="5" xfId="1" applyFont="1" applyFill="1" applyBorder="1" applyAlignment="1">
      <alignment horizontal="center"/>
    </xf>
    <xf numFmtId="14" fontId="5" fillId="0" borderId="8" xfId="0" applyNumberFormat="1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4" fontId="5" fillId="0" borderId="16" xfId="0" applyNumberFormat="1" applyFont="1" applyBorder="1" applyAlignment="1">
      <alignment horizontal="right" wrapText="1"/>
    </xf>
    <xf numFmtId="4" fontId="5" fillId="0" borderId="0" xfId="0" applyNumberFormat="1" applyFont="1" applyAlignment="1">
      <alignment horizontal="right" wrapText="1"/>
    </xf>
    <xf numFmtId="0" fontId="5" fillId="0" borderId="8" xfId="0" applyFont="1" applyBorder="1" applyAlignment="1">
      <alignment horizontal="left" wrapText="1"/>
    </xf>
    <xf numFmtId="14" fontId="5" fillId="0" borderId="6" xfId="0" applyNumberFormat="1" applyFont="1" applyBorder="1" applyAlignment="1">
      <alignment wrapText="1"/>
    </xf>
    <xf numFmtId="4" fontId="5" fillId="0" borderId="11" xfId="0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0" fontId="5" fillId="0" borderId="9" xfId="0" applyFont="1" applyBorder="1" applyAlignment="1">
      <alignment horizontal="center" wrapText="1"/>
    </xf>
    <xf numFmtId="0" fontId="5" fillId="0" borderId="0" xfId="0" quotePrefix="1" applyFont="1" applyAlignment="1">
      <alignment wrapText="1"/>
    </xf>
    <xf numFmtId="0" fontId="14" fillId="0" borderId="9" xfId="0" applyFont="1" applyBorder="1" applyAlignment="1">
      <alignment horizontal="center" wrapText="1"/>
    </xf>
    <xf numFmtId="0" fontId="5" fillId="0" borderId="9" xfId="0" applyFont="1" applyBorder="1" applyAlignment="1">
      <alignment wrapText="1"/>
    </xf>
    <xf numFmtId="0" fontId="5" fillId="0" borderId="18" xfId="0" applyFont="1" applyBorder="1" applyAlignment="1">
      <alignment horizontal="center"/>
    </xf>
    <xf numFmtId="0" fontId="12" fillId="3" borderId="4" xfId="0" applyFont="1" applyFill="1" applyBorder="1" applyAlignment="1">
      <alignment horizontal="center" wrapText="1"/>
    </xf>
    <xf numFmtId="14" fontId="8" fillId="2" borderId="9" xfId="0" applyNumberFormat="1" applyFont="1" applyFill="1" applyBorder="1" applyAlignment="1">
      <alignment wrapText="1"/>
    </xf>
    <xf numFmtId="4" fontId="5" fillId="0" borderId="9" xfId="0" applyNumberFormat="1" applyFont="1" applyBorder="1" applyAlignment="1">
      <alignment horizontal="right"/>
    </xf>
    <xf numFmtId="4" fontId="8" fillId="3" borderId="15" xfId="0" applyNumberFormat="1" applyFont="1" applyFill="1" applyBorder="1" applyAlignment="1">
      <alignment horizontal="right" wrapText="1"/>
    </xf>
    <xf numFmtId="43" fontId="4" fillId="2" borderId="25" xfId="0" applyNumberFormat="1" applyFont="1" applyFill="1" applyBorder="1" applyAlignment="1">
      <alignment horizontal="center" wrapText="1"/>
    </xf>
    <xf numFmtId="43" fontId="8" fillId="3" borderId="9" xfId="0" applyNumberFormat="1" applyFont="1" applyFill="1" applyBorder="1" applyAlignment="1">
      <alignment wrapText="1"/>
    </xf>
    <xf numFmtId="4" fontId="5" fillId="0" borderId="0" xfId="0" applyNumberFormat="1" applyFont="1" applyAlignment="1">
      <alignment horizontal="right"/>
    </xf>
    <xf numFmtId="0" fontId="12" fillId="3" borderId="5" xfId="0" applyFont="1" applyFill="1" applyBorder="1" applyAlignment="1">
      <alignment horizontal="center" wrapText="1"/>
    </xf>
    <xf numFmtId="0" fontId="5" fillId="0" borderId="12" xfId="0" applyFont="1" applyBorder="1" applyAlignment="1">
      <alignment wrapText="1"/>
    </xf>
    <xf numFmtId="0" fontId="5" fillId="0" borderId="11" xfId="0" applyFont="1" applyBorder="1" applyAlignment="1">
      <alignment horizontal="center"/>
    </xf>
    <xf numFmtId="0" fontId="12" fillId="3" borderId="10" xfId="0" applyFont="1" applyFill="1" applyBorder="1" applyAlignment="1">
      <alignment horizontal="center" wrapText="1"/>
    </xf>
    <xf numFmtId="14" fontId="8" fillId="2" borderId="15" xfId="0" applyNumberFormat="1" applyFont="1" applyFill="1" applyBorder="1" applyAlignment="1">
      <alignment wrapText="1"/>
    </xf>
    <xf numFmtId="4" fontId="8" fillId="3" borderId="1" xfId="0" applyNumberFormat="1" applyFont="1" applyFill="1" applyBorder="1" applyAlignment="1">
      <alignment horizontal="right" wrapText="1"/>
    </xf>
    <xf numFmtId="43" fontId="4" fillId="2" borderId="17" xfId="0" applyNumberFormat="1" applyFont="1" applyFill="1" applyBorder="1" applyAlignment="1">
      <alignment horizontal="center" wrapText="1"/>
    </xf>
    <xf numFmtId="43" fontId="8" fillId="3" borderId="11" xfId="0" applyNumberFormat="1" applyFont="1" applyFill="1" applyBorder="1" applyAlignment="1">
      <alignment wrapText="1"/>
    </xf>
    <xf numFmtId="43" fontId="8" fillId="3" borderId="10" xfId="0" applyNumberFormat="1" applyFont="1" applyFill="1" applyBorder="1" applyAlignment="1">
      <alignment horizontal="center" wrapText="1"/>
    </xf>
    <xf numFmtId="43" fontId="4" fillId="2" borderId="2" xfId="1" applyFont="1" applyFill="1" applyBorder="1" applyAlignment="1">
      <alignment horizontal="center"/>
    </xf>
    <xf numFmtId="0" fontId="5" fillId="0" borderId="1" xfId="0" quotePrefix="1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11" fillId="2" borderId="21" xfId="0" applyFont="1" applyFill="1" applyBorder="1" applyAlignment="1">
      <alignment horizontal="center"/>
    </xf>
    <xf numFmtId="14" fontId="8" fillId="2" borderId="12" xfId="0" applyNumberFormat="1" applyFont="1" applyFill="1" applyBorder="1" applyAlignment="1">
      <alignment wrapText="1"/>
    </xf>
    <xf numFmtId="43" fontId="8" fillId="3" borderId="1" xfId="0" applyNumberFormat="1" applyFont="1" applyFill="1" applyBorder="1" applyAlignment="1">
      <alignment wrapText="1"/>
    </xf>
    <xf numFmtId="43" fontId="4" fillId="2" borderId="20" xfId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18" xfId="0" applyFont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wrapText="1"/>
    </xf>
    <xf numFmtId="4" fontId="5" fillId="0" borderId="6" xfId="0" applyNumberFormat="1" applyFont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0" fontId="11" fillId="2" borderId="11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center"/>
    </xf>
    <xf numFmtId="14" fontId="8" fillId="2" borderId="11" xfId="0" applyNumberFormat="1" applyFont="1" applyFill="1" applyBorder="1" applyAlignment="1">
      <alignment wrapText="1"/>
    </xf>
    <xf numFmtId="43" fontId="4" fillId="2" borderId="11" xfId="0" applyNumberFormat="1" applyFont="1" applyFill="1" applyBorder="1" applyAlignment="1">
      <alignment horizontal="center" wrapText="1"/>
    </xf>
    <xf numFmtId="43" fontId="5" fillId="0" borderId="1" xfId="0" applyNumberFormat="1" applyFont="1" applyBorder="1" applyAlignment="1">
      <alignment horizontal="center"/>
    </xf>
    <xf numFmtId="43" fontId="4" fillId="2" borderId="11" xfId="1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 wrapText="1"/>
    </xf>
    <xf numFmtId="0" fontId="12" fillId="3" borderId="22" xfId="0" applyFont="1" applyFill="1" applyBorder="1" applyAlignment="1">
      <alignment horizontal="center"/>
    </xf>
    <xf numFmtId="4" fontId="5" fillId="0" borderId="11" xfId="0" applyNumberFormat="1" applyFont="1" applyBorder="1" applyAlignment="1">
      <alignment horizontal="right"/>
    </xf>
    <xf numFmtId="4" fontId="8" fillId="3" borderId="0" xfId="0" applyNumberFormat="1" applyFont="1" applyFill="1" applyAlignment="1">
      <alignment horizontal="right"/>
    </xf>
    <xf numFmtId="43" fontId="8" fillId="3" borderId="16" xfId="0" applyNumberFormat="1" applyFont="1" applyFill="1" applyBorder="1" applyAlignment="1">
      <alignment wrapText="1"/>
    </xf>
    <xf numFmtId="4" fontId="5" fillId="0" borderId="12" xfId="0" applyNumberFormat="1" applyFont="1" applyBorder="1" applyAlignment="1">
      <alignment horizontal="right"/>
    </xf>
    <xf numFmtId="4" fontId="8" fillId="3" borderId="6" xfId="0" applyNumberFormat="1" applyFont="1" applyFill="1" applyBorder="1" applyAlignment="1">
      <alignment horizontal="right"/>
    </xf>
    <xf numFmtId="43" fontId="4" fillId="2" borderId="6" xfId="0" applyNumberFormat="1" applyFont="1" applyFill="1" applyBorder="1" applyAlignment="1">
      <alignment horizontal="center" wrapText="1"/>
    </xf>
    <xf numFmtId="4" fontId="8" fillId="3" borderId="7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wrapText="1"/>
    </xf>
    <xf numFmtId="0" fontId="12" fillId="3" borderId="11" xfId="0" applyFont="1" applyFill="1" applyBorder="1" applyAlignment="1">
      <alignment horizontal="center"/>
    </xf>
    <xf numFmtId="4" fontId="8" fillId="3" borderId="19" xfId="0" applyNumberFormat="1" applyFont="1" applyFill="1" applyBorder="1" applyAlignment="1">
      <alignment horizontal="right"/>
    </xf>
    <xf numFmtId="4" fontId="8" fillId="3" borderId="12" xfId="0" applyNumberFormat="1" applyFont="1" applyFill="1" applyBorder="1" applyAlignment="1">
      <alignment horizontal="right"/>
    </xf>
    <xf numFmtId="4" fontId="8" fillId="3" borderId="21" xfId="0" applyNumberFormat="1" applyFont="1" applyFill="1" applyBorder="1" applyAlignment="1">
      <alignment horizontal="right"/>
    </xf>
    <xf numFmtId="14" fontId="8" fillId="0" borderId="21" xfId="0" applyNumberFormat="1" applyFont="1" applyBorder="1" applyAlignment="1">
      <alignment horizontal="center"/>
    </xf>
    <xf numFmtId="0" fontId="12" fillId="3" borderId="1" xfId="0" applyFont="1" applyFill="1" applyBorder="1" applyAlignment="1">
      <alignment horizontal="center" wrapText="1"/>
    </xf>
    <xf numFmtId="0" fontId="5" fillId="0" borderId="1" xfId="0" applyFont="1" applyBorder="1"/>
    <xf numFmtId="0" fontId="12" fillId="3" borderId="1" xfId="0" applyFont="1" applyFill="1" applyBorder="1" applyAlignment="1">
      <alignment horizontal="center"/>
    </xf>
    <xf numFmtId="43" fontId="4" fillId="2" borderId="12" xfId="0" applyNumberFormat="1" applyFont="1" applyFill="1" applyBorder="1" applyAlignment="1">
      <alignment horizontal="center" wrapText="1"/>
    </xf>
    <xf numFmtId="14" fontId="8" fillId="0" borderId="11" xfId="0" applyNumberFormat="1" applyFont="1" applyBorder="1" applyAlignment="1">
      <alignment horizontal="center"/>
    </xf>
    <xf numFmtId="4" fontId="8" fillId="3" borderId="22" xfId="0" applyNumberFormat="1" applyFont="1" applyFill="1" applyBorder="1" applyAlignment="1">
      <alignment horizontal="right"/>
    </xf>
    <xf numFmtId="4" fontId="8" fillId="3" borderId="11" xfId="0" applyNumberFormat="1" applyFont="1" applyFill="1" applyBorder="1" applyAlignment="1">
      <alignment horizontal="right"/>
    </xf>
    <xf numFmtId="0" fontId="12" fillId="3" borderId="18" xfId="0" applyFont="1" applyFill="1" applyBorder="1" applyAlignment="1">
      <alignment horizontal="center" wrapText="1"/>
    </xf>
    <xf numFmtId="14" fontId="8" fillId="0" borderId="1" xfId="0" applyNumberFormat="1" applyFont="1" applyBorder="1" applyAlignment="1">
      <alignment horizontal="center"/>
    </xf>
    <xf numFmtId="4" fontId="8" fillId="3" borderId="1" xfId="0" applyNumberFormat="1" applyFont="1" applyFill="1" applyBorder="1" applyAlignment="1">
      <alignment horizontal="right"/>
    </xf>
    <xf numFmtId="43" fontId="4" fillId="2" borderId="8" xfId="1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 wrapText="1"/>
    </xf>
    <xf numFmtId="0" fontId="12" fillId="3" borderId="23" xfId="0" applyFont="1" applyFill="1" applyBorder="1" applyAlignment="1">
      <alignment horizontal="center"/>
    </xf>
    <xf numFmtId="4" fontId="8" fillId="3" borderId="9" xfId="0" applyNumberFormat="1" applyFont="1" applyFill="1" applyBorder="1" applyAlignment="1">
      <alignment horizontal="right"/>
    </xf>
    <xf numFmtId="43" fontId="4" fillId="2" borderId="9" xfId="0" applyNumberFormat="1" applyFont="1" applyFill="1" applyBorder="1" applyAlignment="1">
      <alignment horizontal="center" wrapText="1"/>
    </xf>
    <xf numFmtId="0" fontId="12" fillId="3" borderId="8" xfId="0" applyFont="1" applyFill="1" applyBorder="1" applyAlignment="1">
      <alignment horizontal="center"/>
    </xf>
    <xf numFmtId="0" fontId="5" fillId="0" borderId="8" xfId="0" applyFont="1" applyBorder="1" applyAlignment="1">
      <alignment wrapText="1"/>
    </xf>
    <xf numFmtId="14" fontId="8" fillId="0" borderId="8" xfId="0" applyNumberFormat="1" applyFont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43" fontId="8" fillId="2" borderId="22" xfId="0" applyNumberFormat="1" applyFont="1" applyFill="1" applyBorder="1" applyAlignment="1">
      <alignment wrapText="1"/>
    </xf>
    <xf numFmtId="43" fontId="8" fillId="2" borderId="11" xfId="0" applyNumberFormat="1" applyFont="1" applyFill="1" applyBorder="1" applyAlignment="1">
      <alignment wrapText="1"/>
    </xf>
    <xf numFmtId="0" fontId="12" fillId="2" borderId="11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horizontal="center"/>
    </xf>
    <xf numFmtId="43" fontId="8" fillId="2" borderId="1" xfId="0" applyNumberFormat="1" applyFont="1" applyFill="1" applyBorder="1" applyAlignment="1">
      <alignment wrapText="1"/>
    </xf>
    <xf numFmtId="4" fontId="8" fillId="2" borderId="1" xfId="0" applyNumberFormat="1" applyFont="1" applyFill="1" applyBorder="1" applyAlignment="1">
      <alignment horizontal="right"/>
    </xf>
    <xf numFmtId="0" fontId="5" fillId="0" borderId="6" xfId="0" applyFont="1" applyBorder="1" applyAlignment="1">
      <alignment wrapText="1"/>
    </xf>
    <xf numFmtId="4" fontId="5" fillId="0" borderId="1" xfId="0" applyNumberFormat="1" applyFont="1" applyBorder="1" applyAlignment="1">
      <alignment horizontal="right" wrapText="1"/>
    </xf>
    <xf numFmtId="43" fontId="4" fillId="2" borderId="18" xfId="0" applyNumberFormat="1" applyFont="1" applyFill="1" applyBorder="1" applyAlignment="1">
      <alignment horizontal="center" wrapText="1"/>
    </xf>
    <xf numFmtId="43" fontId="8" fillId="2" borderId="18" xfId="0" applyNumberFormat="1" applyFont="1" applyFill="1" applyBorder="1" applyAlignment="1">
      <alignment wrapText="1"/>
    </xf>
    <xf numFmtId="4" fontId="8" fillId="3" borderId="18" xfId="0" applyNumberFormat="1" applyFont="1" applyFill="1" applyBorder="1" applyAlignment="1">
      <alignment horizontal="right"/>
    </xf>
    <xf numFmtId="43" fontId="4" fillId="2" borderId="18" xfId="1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12" fillId="3" borderId="9" xfId="0" applyFont="1" applyFill="1" applyBorder="1" applyAlignment="1">
      <alignment horizontal="center"/>
    </xf>
    <xf numFmtId="14" fontId="8" fillId="0" borderId="9" xfId="0" applyNumberFormat="1" applyFont="1" applyBorder="1" applyAlignment="1">
      <alignment horizontal="center"/>
    </xf>
    <xf numFmtId="4" fontId="5" fillId="0" borderId="9" xfId="0" applyNumberFormat="1" applyFont="1" applyBorder="1"/>
    <xf numFmtId="0" fontId="8" fillId="0" borderId="14" xfId="0" applyFont="1" applyBorder="1" applyAlignment="1">
      <alignment horizontal="center" wrapText="1"/>
    </xf>
    <xf numFmtId="0" fontId="5" fillId="0" borderId="18" xfId="0" applyFont="1" applyBorder="1" applyAlignment="1">
      <alignment horizontal="left" wrapText="1"/>
    </xf>
    <xf numFmtId="0" fontId="5" fillId="0" borderId="23" xfId="0" applyFont="1" applyBorder="1" applyAlignment="1">
      <alignment wrapText="1"/>
    </xf>
    <xf numFmtId="4" fontId="5" fillId="0" borderId="18" xfId="0" applyNumberFormat="1" applyFont="1" applyBorder="1" applyAlignment="1">
      <alignment horizontal="right"/>
    </xf>
    <xf numFmtId="0" fontId="8" fillId="0" borderId="6" xfId="0" applyFont="1" applyBorder="1" applyAlignment="1">
      <alignment horizontal="center" wrapText="1"/>
    </xf>
    <xf numFmtId="14" fontId="8" fillId="0" borderId="6" xfId="0" applyNumberFormat="1" applyFont="1" applyBorder="1" applyAlignment="1">
      <alignment horizontal="center"/>
    </xf>
    <xf numFmtId="4" fontId="8" fillId="3" borderId="8" xfId="0" applyNumberFormat="1" applyFont="1" applyFill="1" applyBorder="1" applyAlignment="1">
      <alignment horizontal="right"/>
    </xf>
    <xf numFmtId="4" fontId="5" fillId="0" borderId="1" xfId="0" applyNumberFormat="1" applyFont="1" applyBorder="1" applyAlignment="1">
      <alignment wrapText="1"/>
    </xf>
    <xf numFmtId="4" fontId="5" fillId="2" borderId="1" xfId="0" applyNumberFormat="1" applyFont="1" applyFill="1" applyBorder="1" applyAlignment="1">
      <alignment wrapText="1"/>
    </xf>
    <xf numFmtId="0" fontId="5" fillId="0" borderId="11" xfId="0" applyFont="1" applyBorder="1"/>
    <xf numFmtId="4" fontId="5" fillId="0" borderId="11" xfId="0" applyNumberFormat="1" applyFont="1" applyBorder="1" applyAlignment="1">
      <alignment wrapText="1"/>
    </xf>
    <xf numFmtId="0" fontId="8" fillId="0" borderId="12" xfId="0" applyFont="1" applyBorder="1" applyAlignment="1">
      <alignment horizontal="center" wrapText="1"/>
    </xf>
    <xf numFmtId="14" fontId="14" fillId="0" borderId="18" xfId="0" applyNumberFormat="1" applyFont="1" applyBorder="1" applyAlignment="1">
      <alignment horizontal="center" wrapText="1"/>
    </xf>
    <xf numFmtId="0" fontId="5" fillId="0" borderId="22" xfId="0" applyFont="1" applyBorder="1" applyAlignment="1">
      <alignment wrapText="1"/>
    </xf>
    <xf numFmtId="4" fontId="5" fillId="2" borderId="12" xfId="0" applyNumberFormat="1" applyFont="1" applyFill="1" applyBorder="1" applyAlignment="1">
      <alignment wrapText="1"/>
    </xf>
    <xf numFmtId="4" fontId="5" fillId="0" borderId="8" xfId="0" applyNumberFormat="1" applyFont="1" applyBorder="1" applyAlignment="1">
      <alignment wrapText="1"/>
    </xf>
    <xf numFmtId="0" fontId="12" fillId="3" borderId="12" xfId="0" applyFont="1" applyFill="1" applyBorder="1" applyAlignment="1">
      <alignment horizontal="center" wrapText="1"/>
    </xf>
    <xf numFmtId="43" fontId="4" fillId="2" borderId="11" xfId="0" applyNumberFormat="1" applyFont="1" applyFill="1" applyBorder="1" applyAlignment="1">
      <alignment wrapText="1"/>
    </xf>
    <xf numFmtId="43" fontId="4" fillId="2" borderId="22" xfId="0" applyNumberFormat="1" applyFont="1" applyFill="1" applyBorder="1" applyAlignment="1">
      <alignment horizontal="center" wrapText="1"/>
    </xf>
    <xf numFmtId="4" fontId="5" fillId="2" borderId="11" xfId="0" applyNumberFormat="1" applyFont="1" applyFill="1" applyBorder="1" applyAlignment="1">
      <alignment wrapText="1"/>
    </xf>
    <xf numFmtId="43" fontId="4" fillId="2" borderId="1" xfId="0" applyNumberFormat="1" applyFont="1" applyFill="1" applyBorder="1" applyAlignment="1">
      <alignment wrapText="1"/>
    </xf>
    <xf numFmtId="14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right"/>
    </xf>
    <xf numFmtId="14" fontId="8" fillId="0" borderId="18" xfId="0" applyNumberFormat="1" applyFont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14" fontId="8" fillId="0" borderId="0" xfId="0" applyNumberFormat="1" applyFont="1" applyAlignment="1">
      <alignment horizontal="center"/>
    </xf>
    <xf numFmtId="4" fontId="5" fillId="0" borderId="16" xfId="0" applyNumberFormat="1" applyFont="1" applyBorder="1" applyAlignment="1">
      <alignment wrapText="1"/>
    </xf>
    <xf numFmtId="4" fontId="5" fillId="2" borderId="18" xfId="0" applyNumberFormat="1" applyFont="1" applyFill="1" applyBorder="1" applyAlignment="1">
      <alignment wrapText="1"/>
    </xf>
    <xf numFmtId="4" fontId="5" fillId="0" borderId="18" xfId="0" applyNumberFormat="1" applyFont="1" applyBorder="1" applyAlignment="1">
      <alignment wrapText="1"/>
    </xf>
    <xf numFmtId="43" fontId="5" fillId="0" borderId="8" xfId="0" applyNumberFormat="1" applyFont="1" applyBorder="1" applyAlignment="1">
      <alignment horizontal="right"/>
    </xf>
    <xf numFmtId="4" fontId="5" fillId="2" borderId="8" xfId="0" applyNumberFormat="1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B2C5C-E20C-4CE7-9239-D2A92CE47D25}">
  <sheetPr>
    <pageSetUpPr fitToPage="1"/>
  </sheetPr>
  <dimension ref="B1:R93"/>
  <sheetViews>
    <sheetView tabSelected="1" workbookViewId="0">
      <selection activeCell="Q2" sqref="Q2"/>
    </sheetView>
  </sheetViews>
  <sheetFormatPr defaultRowHeight="15" x14ac:dyDescent="0.25"/>
  <cols>
    <col min="1" max="1" width="4.85546875" customWidth="1"/>
    <col min="2" max="2" width="14.42578125" style="3" customWidth="1"/>
    <col min="3" max="3" width="14.28515625" style="3" customWidth="1"/>
    <col min="4" max="4" width="14.42578125" customWidth="1"/>
    <col min="5" max="5" width="15.85546875" style="3" customWidth="1"/>
    <col min="6" max="6" width="16.85546875" style="3" customWidth="1"/>
    <col min="7" max="7" width="15.42578125" style="32" customWidth="1"/>
    <col min="8" max="8" width="8.28515625" style="3" customWidth="1"/>
    <col min="9" max="9" width="9.42578125" style="3" customWidth="1"/>
    <col min="10" max="10" width="12.42578125" style="3" customWidth="1"/>
    <col min="11" max="11" width="11.42578125" style="3" customWidth="1"/>
    <col min="12" max="12" width="9" style="3" customWidth="1"/>
    <col min="13" max="13" width="10.42578125" customWidth="1"/>
    <col min="14" max="14" width="11.5703125" style="3" customWidth="1"/>
    <col min="15" max="15" width="12.28515625" style="3" customWidth="1"/>
    <col min="16" max="16" width="17.85546875" customWidth="1"/>
    <col min="17" max="17" width="21.5703125" customWidth="1"/>
    <col min="18" max="18" width="11.140625" customWidth="1"/>
    <col min="19" max="20" width="10.85546875" bestFit="1" customWidth="1"/>
    <col min="21" max="21" width="12.28515625" customWidth="1"/>
  </cols>
  <sheetData>
    <row r="1" spans="2:16" x14ac:dyDescent="0.25">
      <c r="B1" s="2" t="s">
        <v>0</v>
      </c>
    </row>
    <row r="2" spans="2:16" ht="60" customHeight="1" x14ac:dyDescent="0.25">
      <c r="B2" s="196" t="s">
        <v>1</v>
      </c>
      <c r="C2" s="196"/>
    </row>
    <row r="3" spans="2:16" ht="26.25" customHeight="1" x14ac:dyDescent="0.25">
      <c r="B3" s="4" t="s">
        <v>228</v>
      </c>
    </row>
    <row r="4" spans="2:16" ht="44.25" customHeight="1" x14ac:dyDescent="0.25">
      <c r="B4" s="197" t="s">
        <v>2</v>
      </c>
      <c r="C4" s="198"/>
    </row>
    <row r="5" spans="2:16" ht="36" customHeight="1" x14ac:dyDescent="0.25">
      <c r="B5" s="30" t="s">
        <v>3</v>
      </c>
      <c r="C5" s="36" t="s">
        <v>4</v>
      </c>
      <c r="D5" s="36" t="s">
        <v>5</v>
      </c>
      <c r="E5" s="37" t="s">
        <v>6</v>
      </c>
      <c r="F5" s="36" t="s">
        <v>7</v>
      </c>
      <c r="G5" s="36" t="s">
        <v>8</v>
      </c>
      <c r="H5" s="38" t="s">
        <v>9</v>
      </c>
      <c r="I5" s="35" t="s">
        <v>10</v>
      </c>
      <c r="J5" s="30" t="s">
        <v>11</v>
      </c>
      <c r="K5" s="36" t="s">
        <v>12</v>
      </c>
      <c r="L5" s="35" t="s">
        <v>13</v>
      </c>
      <c r="M5" s="30" t="s">
        <v>14</v>
      </c>
      <c r="N5" s="36" t="s">
        <v>15</v>
      </c>
      <c r="O5" s="35" t="s">
        <v>16</v>
      </c>
    </row>
    <row r="6" spans="2:16" ht="42" customHeight="1" x14ac:dyDescent="0.25">
      <c r="B6" s="21" t="s">
        <v>17</v>
      </c>
      <c r="C6" s="42" t="s">
        <v>17</v>
      </c>
      <c r="D6" s="43" t="s">
        <v>18</v>
      </c>
      <c r="E6" s="44">
        <v>45749</v>
      </c>
      <c r="F6" s="45" t="s">
        <v>19</v>
      </c>
      <c r="G6" s="46" t="s">
        <v>20</v>
      </c>
      <c r="H6" s="47">
        <v>1284</v>
      </c>
      <c r="I6" s="48">
        <v>45384</v>
      </c>
      <c r="J6" s="49">
        <v>0</v>
      </c>
      <c r="K6" s="49">
        <v>2550</v>
      </c>
      <c r="L6" s="50">
        <v>0</v>
      </c>
      <c r="M6" s="21">
        <f>0.01+0.01+51</f>
        <v>51.02</v>
      </c>
      <c r="N6" s="21">
        <v>0.26</v>
      </c>
      <c r="O6" s="51">
        <f t="shared" ref="O6:O12" si="0">J6+K6+N6</f>
        <v>2550.2600000000002</v>
      </c>
    </row>
    <row r="7" spans="2:16" ht="41.25" customHeight="1" x14ac:dyDescent="0.25">
      <c r="B7" s="21" t="s">
        <v>17</v>
      </c>
      <c r="C7" s="42" t="s">
        <v>17</v>
      </c>
      <c r="D7" s="52" t="s">
        <v>21</v>
      </c>
      <c r="E7" s="53">
        <v>45749</v>
      </c>
      <c r="F7" s="54" t="s">
        <v>22</v>
      </c>
      <c r="G7" s="55" t="s">
        <v>23</v>
      </c>
      <c r="H7" s="56">
        <v>1285</v>
      </c>
      <c r="I7" s="57">
        <v>45749</v>
      </c>
      <c r="J7" s="49">
        <v>0</v>
      </c>
      <c r="K7" s="49">
        <v>91100</v>
      </c>
      <c r="L7" s="50">
        <v>0</v>
      </c>
      <c r="M7" s="58">
        <f>0.46+0.44+4555</f>
        <v>4555.8999999999996</v>
      </c>
      <c r="N7" s="59">
        <v>9.11</v>
      </c>
      <c r="O7" s="60">
        <f t="shared" si="0"/>
        <v>91109.11</v>
      </c>
    </row>
    <row r="8" spans="2:16" ht="40.5" customHeight="1" x14ac:dyDescent="0.25">
      <c r="B8" s="21" t="s">
        <v>24</v>
      </c>
      <c r="C8" s="42" t="s">
        <v>24</v>
      </c>
      <c r="D8" s="52" t="s">
        <v>25</v>
      </c>
      <c r="E8" s="61">
        <v>45749</v>
      </c>
      <c r="F8" s="62" t="s">
        <v>26</v>
      </c>
      <c r="G8" s="63" t="s">
        <v>27</v>
      </c>
      <c r="H8" s="64">
        <v>1286</v>
      </c>
      <c r="I8" s="57">
        <v>45749</v>
      </c>
      <c r="J8" s="49">
        <v>0</v>
      </c>
      <c r="K8" s="49">
        <v>4900</v>
      </c>
      <c r="L8" s="50">
        <v>0</v>
      </c>
      <c r="M8" s="21">
        <f>0.02+0.02</f>
        <v>0.04</v>
      </c>
      <c r="N8" s="21">
        <v>0.49</v>
      </c>
      <c r="O8" s="60">
        <f t="shared" si="0"/>
        <v>4900.49</v>
      </c>
    </row>
    <row r="9" spans="2:16" ht="36" customHeight="1" x14ac:dyDescent="0.25">
      <c r="B9" s="21" t="s">
        <v>24</v>
      </c>
      <c r="C9" s="42" t="s">
        <v>24</v>
      </c>
      <c r="D9" s="45" t="s">
        <v>28</v>
      </c>
      <c r="E9" s="53">
        <v>45749</v>
      </c>
      <c r="F9" s="45" t="s">
        <v>29</v>
      </c>
      <c r="G9" s="62" t="s">
        <v>30</v>
      </c>
      <c r="H9" s="21">
        <v>1287</v>
      </c>
      <c r="I9" s="57">
        <v>45749</v>
      </c>
      <c r="J9" s="65">
        <v>0</v>
      </c>
      <c r="K9" s="66">
        <v>32200</v>
      </c>
      <c r="L9" s="50">
        <v>0</v>
      </c>
      <c r="M9" s="21">
        <f>0.16+0.15+727.72</f>
        <v>728.03</v>
      </c>
      <c r="N9" s="21">
        <v>3.22</v>
      </c>
      <c r="O9" s="60">
        <f t="shared" si="0"/>
        <v>32203.22</v>
      </c>
    </row>
    <row r="10" spans="2:16" ht="36" customHeight="1" x14ac:dyDescent="0.25">
      <c r="B10" s="21" t="s">
        <v>24</v>
      </c>
      <c r="C10" s="42" t="s">
        <v>24</v>
      </c>
      <c r="D10" s="52" t="s">
        <v>31</v>
      </c>
      <c r="E10" s="53">
        <v>45749</v>
      </c>
      <c r="F10" s="52" t="s">
        <v>32</v>
      </c>
      <c r="G10" s="67" t="s">
        <v>33</v>
      </c>
      <c r="H10" s="64">
        <v>1288</v>
      </c>
      <c r="I10" s="68">
        <v>45749</v>
      </c>
      <c r="J10" s="69">
        <v>0</v>
      </c>
      <c r="K10" s="69">
        <v>520</v>
      </c>
      <c r="L10" s="50">
        <v>0</v>
      </c>
      <c r="M10" s="21">
        <f>20.49</f>
        <v>20.49</v>
      </c>
      <c r="N10" s="21">
        <v>0.05</v>
      </c>
      <c r="O10" s="60">
        <f>J10+K10+N10</f>
        <v>520.04999999999995</v>
      </c>
    </row>
    <row r="11" spans="2:16" ht="36" customHeight="1" x14ac:dyDescent="0.25">
      <c r="B11" s="21" t="s">
        <v>24</v>
      </c>
      <c r="C11" s="42" t="s">
        <v>24</v>
      </c>
      <c r="D11" s="52" t="s">
        <v>34</v>
      </c>
      <c r="E11" s="53">
        <v>45749</v>
      </c>
      <c r="F11" s="52" t="s">
        <v>32</v>
      </c>
      <c r="G11" s="67" t="s">
        <v>33</v>
      </c>
      <c r="H11" s="21">
        <v>1289</v>
      </c>
      <c r="I11" s="68">
        <v>45749</v>
      </c>
      <c r="J11" s="70">
        <v>0</v>
      </c>
      <c r="K11" s="70">
        <v>1150</v>
      </c>
      <c r="L11" s="50">
        <v>0</v>
      </c>
      <c r="M11" s="21">
        <f>0.01+0.01+45.31</f>
        <v>45.330000000000005</v>
      </c>
      <c r="N11" s="21">
        <v>0.12</v>
      </c>
      <c r="O11" s="60">
        <f t="shared" si="0"/>
        <v>1150.1199999999999</v>
      </c>
    </row>
    <row r="12" spans="2:16" ht="36" customHeight="1" x14ac:dyDescent="0.25">
      <c r="B12" s="21" t="s">
        <v>17</v>
      </c>
      <c r="C12" s="42" t="s">
        <v>17</v>
      </c>
      <c r="D12" s="52" t="s">
        <v>35</v>
      </c>
      <c r="E12" s="53">
        <v>45749</v>
      </c>
      <c r="F12" s="52" t="s">
        <v>36</v>
      </c>
      <c r="G12" s="67" t="s">
        <v>37</v>
      </c>
      <c r="H12" s="21">
        <v>1290</v>
      </c>
      <c r="I12" s="57">
        <v>45749</v>
      </c>
      <c r="J12" s="70">
        <v>0</v>
      </c>
      <c r="K12" s="70">
        <v>28600</v>
      </c>
      <c r="L12" s="50">
        <v>0</v>
      </c>
      <c r="M12" s="21">
        <f>0.14+0.14</f>
        <v>0.28000000000000003</v>
      </c>
      <c r="N12" s="21">
        <v>2.86</v>
      </c>
      <c r="O12" s="60">
        <f t="shared" si="0"/>
        <v>28602.86</v>
      </c>
    </row>
    <row r="13" spans="2:16" ht="50.25" customHeight="1" x14ac:dyDescent="0.25">
      <c r="B13" s="71" t="s">
        <v>24</v>
      </c>
      <c r="C13" s="41" t="s">
        <v>38</v>
      </c>
      <c r="D13" s="72" t="s">
        <v>39</v>
      </c>
      <c r="E13" s="73" t="s">
        <v>40</v>
      </c>
      <c r="F13" s="74" t="s">
        <v>41</v>
      </c>
      <c r="G13" s="75" t="s">
        <v>42</v>
      </c>
      <c r="H13" s="76">
        <v>1291</v>
      </c>
      <c r="I13" s="77">
        <v>45749</v>
      </c>
      <c r="J13" s="78">
        <v>35840</v>
      </c>
      <c r="K13" s="79">
        <v>0</v>
      </c>
      <c r="L13" s="80">
        <v>0</v>
      </c>
      <c r="M13" s="81">
        <f>448+430.08+716.8</f>
        <v>1594.8799999999999</v>
      </c>
      <c r="N13" s="82">
        <v>8960</v>
      </c>
      <c r="O13" s="60">
        <f t="shared" ref="O13:O19" si="1">J13+K13+N13</f>
        <v>44800</v>
      </c>
    </row>
    <row r="14" spans="2:16" ht="48.75" customHeight="1" x14ac:dyDescent="0.25">
      <c r="B14" s="83" t="s">
        <v>24</v>
      </c>
      <c r="C14" s="41" t="s">
        <v>38</v>
      </c>
      <c r="D14" s="45" t="s">
        <v>43</v>
      </c>
      <c r="E14" s="73" t="s">
        <v>44</v>
      </c>
      <c r="F14" s="84" t="s">
        <v>45</v>
      </c>
      <c r="G14" s="85" t="s">
        <v>46</v>
      </c>
      <c r="H14" s="86">
        <v>1292</v>
      </c>
      <c r="I14" s="87">
        <v>45749</v>
      </c>
      <c r="J14" s="82">
        <v>25920</v>
      </c>
      <c r="K14" s="88">
        <v>0</v>
      </c>
      <c r="L14" s="89">
        <v>0</v>
      </c>
      <c r="M14" s="90">
        <f>324+311.04+1296+1244.16</f>
        <v>3175.2</v>
      </c>
      <c r="N14" s="91">
        <v>6480</v>
      </c>
      <c r="O14" s="92">
        <f t="shared" si="1"/>
        <v>32400</v>
      </c>
    </row>
    <row r="15" spans="2:16" ht="48.75" customHeight="1" x14ac:dyDescent="0.25">
      <c r="B15" s="46" t="s">
        <v>24</v>
      </c>
      <c r="C15" s="41" t="s">
        <v>38</v>
      </c>
      <c r="D15" s="93" t="s">
        <v>47</v>
      </c>
      <c r="E15" s="73" t="s">
        <v>48</v>
      </c>
      <c r="F15" s="94" t="s">
        <v>49</v>
      </c>
      <c r="G15" s="55" t="s">
        <v>50</v>
      </c>
      <c r="H15" s="95">
        <v>1293</v>
      </c>
      <c r="I15" s="96">
        <v>45749</v>
      </c>
      <c r="J15" s="70">
        <v>7135.03</v>
      </c>
      <c r="K15" s="82">
        <v>0</v>
      </c>
      <c r="L15" s="50">
        <v>0</v>
      </c>
      <c r="M15" s="97">
        <f>89.19+85.62</f>
        <v>174.81</v>
      </c>
      <c r="N15" s="82">
        <v>1783.76</v>
      </c>
      <c r="O15" s="98">
        <f t="shared" si="1"/>
        <v>8918.7899999999991</v>
      </c>
      <c r="P15" s="5"/>
    </row>
    <row r="16" spans="2:16" ht="48.75" customHeight="1" x14ac:dyDescent="0.25">
      <c r="B16" s="55" t="s">
        <v>24</v>
      </c>
      <c r="C16" s="41" t="s">
        <v>38</v>
      </c>
      <c r="D16" s="62" t="s">
        <v>51</v>
      </c>
      <c r="E16" s="40" t="s">
        <v>52</v>
      </c>
      <c r="F16" s="99" t="s">
        <v>53</v>
      </c>
      <c r="G16" s="100" t="s">
        <v>54</v>
      </c>
      <c r="H16" s="101">
        <v>1294</v>
      </c>
      <c r="I16" s="102">
        <v>45749</v>
      </c>
      <c r="J16" s="78">
        <v>1440</v>
      </c>
      <c r="K16" s="103">
        <v>0</v>
      </c>
      <c r="L16" s="50">
        <v>0</v>
      </c>
      <c r="M16" s="97">
        <f>18+17.28+28.8</f>
        <v>64.08</v>
      </c>
      <c r="N16" s="104">
        <v>360</v>
      </c>
      <c r="O16" s="51">
        <f t="shared" si="1"/>
        <v>1800</v>
      </c>
      <c r="P16" s="5"/>
    </row>
    <row r="17" spans="2:16" ht="47.25" customHeight="1" x14ac:dyDescent="0.25">
      <c r="B17" s="105" t="s">
        <v>24</v>
      </c>
      <c r="C17" s="41" t="s">
        <v>38</v>
      </c>
      <c r="D17" s="43" t="s">
        <v>55</v>
      </c>
      <c r="E17" s="40" t="s">
        <v>52</v>
      </c>
      <c r="F17" s="45" t="s">
        <v>56</v>
      </c>
      <c r="G17" s="46" t="s">
        <v>57</v>
      </c>
      <c r="H17" s="106">
        <v>1295</v>
      </c>
      <c r="I17" s="107">
        <v>45749</v>
      </c>
      <c r="J17" s="69">
        <v>1440</v>
      </c>
      <c r="K17" s="70">
        <v>0</v>
      </c>
      <c r="L17" s="108">
        <v>0</v>
      </c>
      <c r="M17" s="97">
        <f>18+17.28+28.8</f>
        <v>64.08</v>
      </c>
      <c r="N17" s="109">
        <v>360</v>
      </c>
      <c r="O17" s="110">
        <f t="shared" si="1"/>
        <v>1800</v>
      </c>
    </row>
    <row r="18" spans="2:16" ht="48" customHeight="1" x14ac:dyDescent="0.25">
      <c r="B18" s="111" t="s">
        <v>24</v>
      </c>
      <c r="C18" s="41" t="s">
        <v>38</v>
      </c>
      <c r="D18" s="43" t="s">
        <v>58</v>
      </c>
      <c r="E18" s="40" t="s">
        <v>52</v>
      </c>
      <c r="F18" s="94" t="s">
        <v>59</v>
      </c>
      <c r="G18" s="63" t="s">
        <v>60</v>
      </c>
      <c r="H18" s="112">
        <v>1296</v>
      </c>
      <c r="I18" s="107">
        <v>45749</v>
      </c>
      <c r="J18" s="113">
        <v>1440</v>
      </c>
      <c r="K18" s="114">
        <v>0</v>
      </c>
      <c r="L18" s="50">
        <v>0</v>
      </c>
      <c r="M18" s="115">
        <f>18+17.28+45.65</f>
        <v>80.930000000000007</v>
      </c>
      <c r="N18" s="114">
        <v>360</v>
      </c>
      <c r="O18" s="51">
        <f t="shared" si="1"/>
        <v>1800</v>
      </c>
      <c r="P18" s="5"/>
    </row>
    <row r="19" spans="2:16" ht="48" customHeight="1" x14ac:dyDescent="0.25">
      <c r="B19" s="111" t="s">
        <v>24</v>
      </c>
      <c r="C19" s="41" t="s">
        <v>38</v>
      </c>
      <c r="D19" s="45" t="s">
        <v>61</v>
      </c>
      <c r="E19" s="40" t="s">
        <v>52</v>
      </c>
      <c r="F19" s="45" t="s">
        <v>62</v>
      </c>
      <c r="G19" s="55" t="s">
        <v>63</v>
      </c>
      <c r="H19" s="112">
        <v>1297</v>
      </c>
      <c r="I19" s="107">
        <v>45749</v>
      </c>
      <c r="J19" s="116">
        <v>1440</v>
      </c>
      <c r="K19" s="117">
        <v>0</v>
      </c>
      <c r="L19" s="118">
        <v>0</v>
      </c>
      <c r="M19" s="97">
        <f>18+17.28+28.8</f>
        <v>64.08</v>
      </c>
      <c r="N19" s="119">
        <v>360</v>
      </c>
      <c r="O19" s="51">
        <f t="shared" si="1"/>
        <v>1800</v>
      </c>
      <c r="P19" s="5"/>
    </row>
    <row r="20" spans="2:16" ht="46.5" customHeight="1" x14ac:dyDescent="0.25">
      <c r="B20" s="111" t="s">
        <v>24</v>
      </c>
      <c r="C20" s="41" t="s">
        <v>38</v>
      </c>
      <c r="D20" s="94" t="s">
        <v>64</v>
      </c>
      <c r="E20" s="40" t="s">
        <v>52</v>
      </c>
      <c r="F20" s="52" t="s">
        <v>65</v>
      </c>
      <c r="G20" s="120" t="s">
        <v>66</v>
      </c>
      <c r="H20" s="121">
        <v>1298</v>
      </c>
      <c r="I20" s="107">
        <v>45749</v>
      </c>
      <c r="J20" s="116">
        <v>1440</v>
      </c>
      <c r="K20" s="117">
        <v>0</v>
      </c>
      <c r="L20" s="118">
        <v>0</v>
      </c>
      <c r="M20" s="97">
        <f>18+17.28+28.8</f>
        <v>64.08</v>
      </c>
      <c r="N20" s="119">
        <v>360</v>
      </c>
      <c r="O20" s="51">
        <f t="shared" ref="O20:O66" si="2">J20+K20+N20</f>
        <v>1800</v>
      </c>
      <c r="P20" s="5"/>
    </row>
    <row r="21" spans="2:16" ht="46.5" customHeight="1" x14ac:dyDescent="0.25">
      <c r="B21" s="111" t="s">
        <v>24</v>
      </c>
      <c r="C21" s="41" t="s">
        <v>38</v>
      </c>
      <c r="D21" s="94" t="s">
        <v>67</v>
      </c>
      <c r="E21" s="40" t="s">
        <v>52</v>
      </c>
      <c r="F21" s="62" t="s">
        <v>68</v>
      </c>
      <c r="G21" s="55" t="s">
        <v>69</v>
      </c>
      <c r="H21" s="112">
        <v>1299</v>
      </c>
      <c r="I21" s="107">
        <v>45749</v>
      </c>
      <c r="J21" s="113">
        <v>1440</v>
      </c>
      <c r="K21" s="122">
        <v>0</v>
      </c>
      <c r="L21" s="118">
        <v>0</v>
      </c>
      <c r="M21" s="97">
        <f>18+17.28+28.8</f>
        <v>64.08</v>
      </c>
      <c r="N21" s="114">
        <v>360</v>
      </c>
      <c r="O21" s="51">
        <f t="shared" si="2"/>
        <v>1800</v>
      </c>
      <c r="P21" s="5"/>
    </row>
    <row r="22" spans="2:16" ht="51.75" customHeight="1" x14ac:dyDescent="0.25">
      <c r="B22" s="111" t="s">
        <v>24</v>
      </c>
      <c r="C22" s="41" t="s">
        <v>38</v>
      </c>
      <c r="D22" s="43" t="s">
        <v>70</v>
      </c>
      <c r="E22" s="40" t="s">
        <v>52</v>
      </c>
      <c r="F22" s="43" t="s">
        <v>71</v>
      </c>
      <c r="G22" s="120" t="s">
        <v>72</v>
      </c>
      <c r="H22" s="121">
        <v>1300</v>
      </c>
      <c r="I22" s="107">
        <v>45749</v>
      </c>
      <c r="J22" s="113">
        <v>1440</v>
      </c>
      <c r="K22" s="123">
        <v>0</v>
      </c>
      <c r="L22" s="118">
        <v>0</v>
      </c>
      <c r="M22" s="97">
        <f>18+17.28+30.24</f>
        <v>65.52</v>
      </c>
      <c r="N22" s="124">
        <v>360</v>
      </c>
      <c r="O22" s="51">
        <f>J22+K22+N22</f>
        <v>1800</v>
      </c>
      <c r="P22" s="5"/>
    </row>
    <row r="23" spans="2:16" ht="51.75" customHeight="1" x14ac:dyDescent="0.25">
      <c r="B23" s="111" t="s">
        <v>24</v>
      </c>
      <c r="C23" s="41" t="s">
        <v>38</v>
      </c>
      <c r="D23" s="43" t="s">
        <v>73</v>
      </c>
      <c r="E23" s="40" t="s">
        <v>52</v>
      </c>
      <c r="F23" s="43" t="s">
        <v>74</v>
      </c>
      <c r="G23" s="46" t="s">
        <v>75</v>
      </c>
      <c r="H23" s="112">
        <v>1301</v>
      </c>
      <c r="I23" s="125">
        <v>45749</v>
      </c>
      <c r="J23" s="113">
        <v>1440</v>
      </c>
      <c r="K23" s="123">
        <v>0</v>
      </c>
      <c r="L23" s="118">
        <v>0</v>
      </c>
      <c r="M23" s="97">
        <f>18+17.28+28.8</f>
        <v>64.08</v>
      </c>
      <c r="N23" s="124">
        <v>360</v>
      </c>
      <c r="O23" s="51">
        <f t="shared" si="2"/>
        <v>1800</v>
      </c>
      <c r="P23" s="5"/>
    </row>
    <row r="24" spans="2:16" ht="48" customHeight="1" x14ac:dyDescent="0.25">
      <c r="B24" s="111" t="s">
        <v>24</v>
      </c>
      <c r="C24" s="41" t="s">
        <v>38</v>
      </c>
      <c r="D24" s="43" t="s">
        <v>76</v>
      </c>
      <c r="E24" s="40" t="s">
        <v>52</v>
      </c>
      <c r="F24" s="84" t="s">
        <v>77</v>
      </c>
      <c r="G24" s="46" t="s">
        <v>78</v>
      </c>
      <c r="H24" s="112">
        <v>1302</v>
      </c>
      <c r="I24" s="125">
        <v>45749</v>
      </c>
      <c r="J24" s="113">
        <v>1440</v>
      </c>
      <c r="K24" s="123">
        <v>0</v>
      </c>
      <c r="L24" s="118">
        <v>0</v>
      </c>
      <c r="M24" s="97">
        <f>18+17.28+28.8</f>
        <v>64.08</v>
      </c>
      <c r="N24" s="124">
        <v>360</v>
      </c>
      <c r="O24" s="51">
        <f t="shared" si="2"/>
        <v>1800</v>
      </c>
      <c r="P24" s="5"/>
    </row>
    <row r="25" spans="2:16" ht="48.75" customHeight="1" x14ac:dyDescent="0.25">
      <c r="B25" s="111" t="s">
        <v>24</v>
      </c>
      <c r="C25" s="41" t="s">
        <v>38</v>
      </c>
      <c r="D25" s="43" t="s">
        <v>79</v>
      </c>
      <c r="E25" s="40" t="s">
        <v>52</v>
      </c>
      <c r="F25" s="43" t="s">
        <v>80</v>
      </c>
      <c r="G25" s="46" t="s">
        <v>81</v>
      </c>
      <c r="H25" s="112">
        <v>1303</v>
      </c>
      <c r="I25" s="125">
        <v>45749</v>
      </c>
      <c r="J25" s="113">
        <v>1440</v>
      </c>
      <c r="K25" s="123">
        <v>0</v>
      </c>
      <c r="L25" s="118">
        <v>0</v>
      </c>
      <c r="M25" s="97">
        <f>18+17.28+72</f>
        <v>107.28</v>
      </c>
      <c r="N25" s="124">
        <v>360</v>
      </c>
      <c r="O25" s="51">
        <f t="shared" si="2"/>
        <v>1800</v>
      </c>
      <c r="P25" s="5"/>
    </row>
    <row r="26" spans="2:16" ht="48" customHeight="1" x14ac:dyDescent="0.25">
      <c r="B26" s="126" t="s">
        <v>24</v>
      </c>
      <c r="C26" s="41" t="s">
        <v>38</v>
      </c>
      <c r="D26" s="94" t="s">
        <v>82</v>
      </c>
      <c r="E26" s="40" t="s">
        <v>52</v>
      </c>
      <c r="F26" s="94" t="s">
        <v>83</v>
      </c>
      <c r="G26" s="127" t="s">
        <v>84</v>
      </c>
      <c r="H26" s="128">
        <v>1304</v>
      </c>
      <c r="I26" s="102">
        <v>45749</v>
      </c>
      <c r="J26" s="70">
        <v>1440</v>
      </c>
      <c r="K26" s="124">
        <v>0</v>
      </c>
      <c r="L26" s="129">
        <v>0</v>
      </c>
      <c r="M26" s="90">
        <f>18+17.28+28.8</f>
        <v>64.08</v>
      </c>
      <c r="N26" s="124">
        <v>360</v>
      </c>
      <c r="O26" s="110">
        <f t="shared" si="2"/>
        <v>1800</v>
      </c>
      <c r="P26" s="5"/>
    </row>
    <row r="27" spans="2:16" ht="49.5" customHeight="1" x14ac:dyDescent="0.25">
      <c r="B27" s="126" t="s">
        <v>24</v>
      </c>
      <c r="C27" s="41" t="s">
        <v>38</v>
      </c>
      <c r="D27" s="43" t="s">
        <v>85</v>
      </c>
      <c r="E27" s="40" t="s">
        <v>52</v>
      </c>
      <c r="F27" s="43" t="s">
        <v>86</v>
      </c>
      <c r="G27" s="43" t="s">
        <v>87</v>
      </c>
      <c r="H27" s="121">
        <v>1305</v>
      </c>
      <c r="I27" s="130">
        <v>45749</v>
      </c>
      <c r="J27" s="113">
        <v>1440</v>
      </c>
      <c r="K27" s="131">
        <v>0</v>
      </c>
      <c r="L27" s="108">
        <v>0</v>
      </c>
      <c r="M27" s="90">
        <f>18+17.28+54.58</f>
        <v>89.86</v>
      </c>
      <c r="N27" s="132">
        <v>360</v>
      </c>
      <c r="O27" s="51">
        <f t="shared" si="2"/>
        <v>1800</v>
      </c>
      <c r="P27" s="5"/>
    </row>
    <row r="28" spans="2:16" ht="49.5" customHeight="1" x14ac:dyDescent="0.25">
      <c r="B28" s="133" t="s">
        <v>24</v>
      </c>
      <c r="C28" s="41" t="s">
        <v>38</v>
      </c>
      <c r="D28" s="94" t="s">
        <v>88</v>
      </c>
      <c r="E28" s="40" t="s">
        <v>52</v>
      </c>
      <c r="F28" s="55" t="s">
        <v>89</v>
      </c>
      <c r="G28" s="94" t="s">
        <v>90</v>
      </c>
      <c r="H28" s="128">
        <v>1306</v>
      </c>
      <c r="I28" s="134">
        <v>45749</v>
      </c>
      <c r="J28" s="70">
        <v>1440</v>
      </c>
      <c r="K28" s="135">
        <v>0</v>
      </c>
      <c r="L28" s="50">
        <v>0</v>
      </c>
      <c r="M28" s="97">
        <f>18+17.28+72</f>
        <v>107.28</v>
      </c>
      <c r="N28" s="135">
        <v>360</v>
      </c>
      <c r="O28" s="136">
        <f t="shared" si="2"/>
        <v>1800</v>
      </c>
      <c r="P28" s="5"/>
    </row>
    <row r="29" spans="2:16" ht="51" customHeight="1" x14ac:dyDescent="0.25">
      <c r="B29" s="126" t="s">
        <v>24</v>
      </c>
      <c r="C29" s="41" t="s">
        <v>38</v>
      </c>
      <c r="D29" s="94" t="s">
        <v>91</v>
      </c>
      <c r="E29" s="40" t="s">
        <v>52</v>
      </c>
      <c r="F29" s="94" t="s">
        <v>92</v>
      </c>
      <c r="G29" s="94" t="s">
        <v>93</v>
      </c>
      <c r="H29" s="128">
        <v>1307</v>
      </c>
      <c r="I29" s="134">
        <v>45749</v>
      </c>
      <c r="J29" s="70">
        <v>1440</v>
      </c>
      <c r="K29" s="135">
        <v>0</v>
      </c>
      <c r="L29" s="50">
        <v>0</v>
      </c>
      <c r="M29" s="97">
        <f>18+17.28+28.8</f>
        <v>64.08</v>
      </c>
      <c r="N29" s="135">
        <v>360</v>
      </c>
      <c r="O29" s="136">
        <f t="shared" si="2"/>
        <v>1800</v>
      </c>
      <c r="P29" s="5"/>
    </row>
    <row r="30" spans="2:16" ht="52.5" customHeight="1" x14ac:dyDescent="0.25">
      <c r="B30" s="137" t="s">
        <v>24</v>
      </c>
      <c r="C30" s="41" t="s">
        <v>38</v>
      </c>
      <c r="D30" s="43" t="s">
        <v>94</v>
      </c>
      <c r="E30" s="40" t="s">
        <v>52</v>
      </c>
      <c r="F30" s="43" t="s">
        <v>95</v>
      </c>
      <c r="G30" s="43" t="s">
        <v>96</v>
      </c>
      <c r="H30" s="128">
        <v>1308</v>
      </c>
      <c r="I30" s="134">
        <v>45749</v>
      </c>
      <c r="J30" s="70">
        <v>1440</v>
      </c>
      <c r="K30" s="135">
        <v>0</v>
      </c>
      <c r="L30" s="50">
        <v>0</v>
      </c>
      <c r="M30" s="97">
        <f>18+17.28+72+69.12</f>
        <v>176.4</v>
      </c>
      <c r="N30" s="135">
        <v>360</v>
      </c>
      <c r="O30" s="136">
        <f t="shared" si="2"/>
        <v>1800</v>
      </c>
      <c r="P30" s="5"/>
    </row>
    <row r="31" spans="2:16" ht="51.75" customHeight="1" x14ac:dyDescent="0.25">
      <c r="B31" s="126" t="s">
        <v>24</v>
      </c>
      <c r="C31" s="41" t="s">
        <v>38</v>
      </c>
      <c r="D31" s="94" t="s">
        <v>97</v>
      </c>
      <c r="E31" s="40" t="s">
        <v>52</v>
      </c>
      <c r="F31" s="94" t="s">
        <v>98</v>
      </c>
      <c r="G31" s="94" t="s">
        <v>99</v>
      </c>
      <c r="H31" s="138">
        <v>1309</v>
      </c>
      <c r="I31" s="134">
        <v>45749</v>
      </c>
      <c r="J31" s="78">
        <v>1440</v>
      </c>
      <c r="K31" s="139">
        <v>0</v>
      </c>
      <c r="L31" s="140">
        <v>0</v>
      </c>
      <c r="M31" s="81">
        <f>18+17.28+28.8</f>
        <v>64.08</v>
      </c>
      <c r="N31" s="139">
        <v>360</v>
      </c>
      <c r="O31" s="51">
        <f t="shared" si="2"/>
        <v>1800</v>
      </c>
      <c r="P31" s="5"/>
    </row>
    <row r="32" spans="2:16" ht="50.25" customHeight="1" x14ac:dyDescent="0.25">
      <c r="B32" s="126" t="s">
        <v>24</v>
      </c>
      <c r="C32" s="41" t="s">
        <v>38</v>
      </c>
      <c r="D32" s="94" t="s">
        <v>100</v>
      </c>
      <c r="E32" s="40" t="s">
        <v>52</v>
      </c>
      <c r="F32" s="94" t="s">
        <v>101</v>
      </c>
      <c r="G32" s="94" t="s">
        <v>102</v>
      </c>
      <c r="H32" s="141">
        <v>1310</v>
      </c>
      <c r="I32" s="134">
        <v>45749</v>
      </c>
      <c r="J32" s="70">
        <v>1440</v>
      </c>
      <c r="K32" s="135">
        <v>0</v>
      </c>
      <c r="L32" s="50">
        <v>0</v>
      </c>
      <c r="M32" s="97">
        <f>18+17.28+28.8</f>
        <v>64.08</v>
      </c>
      <c r="N32" s="135">
        <v>360</v>
      </c>
      <c r="O32" s="51">
        <f t="shared" si="2"/>
        <v>1800</v>
      </c>
      <c r="P32" s="5"/>
    </row>
    <row r="33" spans="2:16" ht="53.25" customHeight="1" x14ac:dyDescent="0.25">
      <c r="B33" s="111" t="s">
        <v>24</v>
      </c>
      <c r="C33" s="41" t="s">
        <v>38</v>
      </c>
      <c r="D33" s="94" t="s">
        <v>103</v>
      </c>
      <c r="E33" s="40" t="s">
        <v>52</v>
      </c>
      <c r="F33" s="43" t="s">
        <v>104</v>
      </c>
      <c r="G33" s="94" t="s">
        <v>105</v>
      </c>
      <c r="H33" s="112">
        <v>1311</v>
      </c>
      <c r="I33" s="134">
        <v>45749</v>
      </c>
      <c r="J33" s="113">
        <v>1440</v>
      </c>
      <c r="K33" s="132">
        <v>0</v>
      </c>
      <c r="L33" s="50">
        <v>0</v>
      </c>
      <c r="M33" s="90">
        <f>18+17.28+28.94</f>
        <v>64.22</v>
      </c>
      <c r="N33" s="132">
        <v>360</v>
      </c>
      <c r="O33" s="51">
        <f t="shared" si="2"/>
        <v>1800</v>
      </c>
      <c r="P33" s="5"/>
    </row>
    <row r="34" spans="2:16" ht="51" customHeight="1" x14ac:dyDescent="0.25">
      <c r="B34" s="126" t="s">
        <v>24</v>
      </c>
      <c r="C34" s="41" t="s">
        <v>38</v>
      </c>
      <c r="D34" s="99" t="s">
        <v>106</v>
      </c>
      <c r="E34" s="40" t="s">
        <v>52</v>
      </c>
      <c r="F34" s="43" t="s">
        <v>107</v>
      </c>
      <c r="G34" s="99" t="s">
        <v>108</v>
      </c>
      <c r="H34" s="128">
        <v>1312</v>
      </c>
      <c r="I34" s="134">
        <v>45749</v>
      </c>
      <c r="J34" s="70">
        <v>1440</v>
      </c>
      <c r="K34" s="135">
        <v>0</v>
      </c>
      <c r="L34" s="50">
        <v>0</v>
      </c>
      <c r="M34" s="97">
        <f>18+17.28+28.8</f>
        <v>64.08</v>
      </c>
      <c r="N34" s="135">
        <v>360</v>
      </c>
      <c r="O34" s="51">
        <f t="shared" si="2"/>
        <v>1800</v>
      </c>
      <c r="P34" s="5"/>
    </row>
    <row r="35" spans="2:16" ht="51.75" customHeight="1" x14ac:dyDescent="0.25">
      <c r="B35" s="126" t="s">
        <v>24</v>
      </c>
      <c r="C35" s="41" t="s">
        <v>38</v>
      </c>
      <c r="D35" s="94" t="s">
        <v>109</v>
      </c>
      <c r="E35" s="40" t="s">
        <v>52</v>
      </c>
      <c r="F35" s="94" t="s">
        <v>110</v>
      </c>
      <c r="G35" s="142" t="s">
        <v>111</v>
      </c>
      <c r="H35" s="141">
        <v>1313</v>
      </c>
      <c r="I35" s="134">
        <v>45749</v>
      </c>
      <c r="J35" s="70">
        <v>1440</v>
      </c>
      <c r="K35" s="135">
        <v>0</v>
      </c>
      <c r="L35" s="50">
        <v>0</v>
      </c>
      <c r="M35" s="97">
        <f>18+17.28+28.8</f>
        <v>64.08</v>
      </c>
      <c r="N35" s="135">
        <v>360</v>
      </c>
      <c r="O35" s="51">
        <f t="shared" si="2"/>
        <v>1800</v>
      </c>
      <c r="P35" s="5"/>
    </row>
    <row r="36" spans="2:16" ht="49.5" customHeight="1" x14ac:dyDescent="0.25">
      <c r="B36" s="126" t="s">
        <v>24</v>
      </c>
      <c r="C36" s="41" t="s">
        <v>38</v>
      </c>
      <c r="D36" s="43" t="s">
        <v>112</v>
      </c>
      <c r="E36" s="40" t="s">
        <v>52</v>
      </c>
      <c r="F36" s="43" t="s">
        <v>113</v>
      </c>
      <c r="G36" s="99" t="s">
        <v>114</v>
      </c>
      <c r="H36" s="128">
        <v>1314</v>
      </c>
      <c r="I36" s="134">
        <v>45749</v>
      </c>
      <c r="J36" s="70">
        <v>1440</v>
      </c>
      <c r="K36" s="135">
        <v>0</v>
      </c>
      <c r="L36" s="50">
        <v>0</v>
      </c>
      <c r="M36" s="97">
        <f>18+17.28+28.8</f>
        <v>64.08</v>
      </c>
      <c r="N36" s="135">
        <v>360</v>
      </c>
      <c r="O36" s="51">
        <f t="shared" si="2"/>
        <v>1800</v>
      </c>
      <c r="P36" s="5"/>
    </row>
    <row r="37" spans="2:16" ht="51.75" customHeight="1" x14ac:dyDescent="0.25">
      <c r="B37" s="126" t="s">
        <v>24</v>
      </c>
      <c r="C37" s="41" t="s">
        <v>38</v>
      </c>
      <c r="D37" s="43" t="s">
        <v>115</v>
      </c>
      <c r="E37" s="40" t="s">
        <v>52</v>
      </c>
      <c r="F37" s="43" t="s">
        <v>116</v>
      </c>
      <c r="G37" s="43" t="s">
        <v>117</v>
      </c>
      <c r="H37" s="141">
        <v>1315</v>
      </c>
      <c r="I37" s="134">
        <v>45749</v>
      </c>
      <c r="J37" s="70">
        <v>1440</v>
      </c>
      <c r="K37" s="135">
        <v>0</v>
      </c>
      <c r="L37" s="50">
        <v>0</v>
      </c>
      <c r="M37" s="97">
        <f>18+17.28+28.8</f>
        <v>64.08</v>
      </c>
      <c r="N37" s="135">
        <v>360</v>
      </c>
      <c r="O37" s="51">
        <f t="shared" si="2"/>
        <v>1800</v>
      </c>
      <c r="P37" s="5"/>
    </row>
    <row r="38" spans="2:16" ht="57.75" customHeight="1" x14ac:dyDescent="0.25">
      <c r="B38" s="126" t="s">
        <v>24</v>
      </c>
      <c r="C38" s="41" t="s">
        <v>38</v>
      </c>
      <c r="D38" s="94" t="s">
        <v>118</v>
      </c>
      <c r="E38" s="40" t="s">
        <v>52</v>
      </c>
      <c r="F38" s="94" t="s">
        <v>119</v>
      </c>
      <c r="G38" s="94" t="s">
        <v>120</v>
      </c>
      <c r="H38" s="141">
        <v>1316</v>
      </c>
      <c r="I38" s="134">
        <v>45749</v>
      </c>
      <c r="J38" s="70">
        <v>1440</v>
      </c>
      <c r="K38" s="135">
        <v>0</v>
      </c>
      <c r="L38" s="50">
        <v>0</v>
      </c>
      <c r="M38" s="97">
        <f>18+17.28+72</f>
        <v>107.28</v>
      </c>
      <c r="N38" s="135">
        <v>360</v>
      </c>
      <c r="O38" s="51">
        <f t="shared" si="2"/>
        <v>1800</v>
      </c>
      <c r="P38" s="5"/>
    </row>
    <row r="39" spans="2:16" ht="57.75" customHeight="1" x14ac:dyDescent="0.25">
      <c r="B39" s="126" t="s">
        <v>24</v>
      </c>
      <c r="C39" s="41" t="s">
        <v>38</v>
      </c>
      <c r="D39" s="94" t="s">
        <v>121</v>
      </c>
      <c r="E39" s="40" t="s">
        <v>52</v>
      </c>
      <c r="F39" s="94" t="s">
        <v>122</v>
      </c>
      <c r="G39" s="94" t="s">
        <v>123</v>
      </c>
      <c r="H39" s="141">
        <v>1317</v>
      </c>
      <c r="I39" s="134">
        <v>45749</v>
      </c>
      <c r="J39" s="70">
        <v>1440</v>
      </c>
      <c r="K39" s="135">
        <v>0</v>
      </c>
      <c r="L39" s="50">
        <v>0</v>
      </c>
      <c r="M39" s="97">
        <f>18+17.28+28.8</f>
        <v>64.08</v>
      </c>
      <c r="N39" s="135">
        <v>360</v>
      </c>
      <c r="O39" s="51">
        <f t="shared" si="2"/>
        <v>1800</v>
      </c>
      <c r="P39" s="5"/>
    </row>
    <row r="40" spans="2:16" ht="49.5" customHeight="1" x14ac:dyDescent="0.25">
      <c r="B40" s="111" t="s">
        <v>24</v>
      </c>
      <c r="C40" s="41" t="s">
        <v>38</v>
      </c>
      <c r="D40" s="94" t="s">
        <v>124</v>
      </c>
      <c r="E40" s="40" t="s">
        <v>52</v>
      </c>
      <c r="F40" s="43" t="s">
        <v>125</v>
      </c>
      <c r="G40" s="94" t="s">
        <v>126</v>
      </c>
      <c r="H40" s="112">
        <v>1318</v>
      </c>
      <c r="I40" s="130">
        <v>45749</v>
      </c>
      <c r="J40" s="113">
        <v>1440</v>
      </c>
      <c r="K40" s="132">
        <v>0</v>
      </c>
      <c r="L40" s="50">
        <v>0</v>
      </c>
      <c r="M40" s="90">
        <f>18+17.28+39.02</f>
        <v>74.300000000000011</v>
      </c>
      <c r="N40" s="132">
        <v>360</v>
      </c>
      <c r="O40" s="51">
        <f t="shared" si="2"/>
        <v>1800</v>
      </c>
      <c r="P40" s="5"/>
    </row>
    <row r="41" spans="2:16" ht="53.25" customHeight="1" x14ac:dyDescent="0.25">
      <c r="B41" s="126" t="s">
        <v>24</v>
      </c>
      <c r="C41" s="41" t="s">
        <v>38</v>
      </c>
      <c r="D41" s="99" t="s">
        <v>127</v>
      </c>
      <c r="E41" s="40" t="s">
        <v>52</v>
      </c>
      <c r="F41" s="43" t="s">
        <v>128</v>
      </c>
      <c r="G41" s="99" t="s">
        <v>129</v>
      </c>
      <c r="H41" s="128">
        <v>1319</v>
      </c>
      <c r="I41" s="134">
        <v>45749</v>
      </c>
      <c r="J41" s="70">
        <v>1440</v>
      </c>
      <c r="K41" s="135">
        <v>0</v>
      </c>
      <c r="L41" s="50">
        <v>0</v>
      </c>
      <c r="M41" s="90">
        <f>18+17.28+72+69.12</f>
        <v>176.4</v>
      </c>
      <c r="N41" s="135">
        <v>360</v>
      </c>
      <c r="O41" s="51">
        <f t="shared" si="2"/>
        <v>1800</v>
      </c>
      <c r="P41" s="5"/>
    </row>
    <row r="42" spans="2:16" ht="51.75" customHeight="1" x14ac:dyDescent="0.25">
      <c r="B42" s="126" t="s">
        <v>24</v>
      </c>
      <c r="C42" s="41" t="s">
        <v>38</v>
      </c>
      <c r="D42" s="43" t="s">
        <v>130</v>
      </c>
      <c r="E42" s="40" t="s">
        <v>52</v>
      </c>
      <c r="F42" s="43" t="s">
        <v>131</v>
      </c>
      <c r="G42" s="94" t="s">
        <v>132</v>
      </c>
      <c r="H42" s="141">
        <v>1320</v>
      </c>
      <c r="I42" s="134">
        <v>45749</v>
      </c>
      <c r="J42" s="70">
        <v>1440</v>
      </c>
      <c r="K42" s="135">
        <v>0</v>
      </c>
      <c r="L42" s="50">
        <v>0</v>
      </c>
      <c r="M42" s="97">
        <f>18+17.28+28.94</f>
        <v>64.22</v>
      </c>
      <c r="N42" s="135">
        <v>360</v>
      </c>
      <c r="O42" s="51">
        <f t="shared" si="2"/>
        <v>1800</v>
      </c>
      <c r="P42" s="5"/>
    </row>
    <row r="43" spans="2:16" ht="49.5" customHeight="1" x14ac:dyDescent="0.25">
      <c r="B43" s="126" t="s">
        <v>24</v>
      </c>
      <c r="C43" s="41" t="s">
        <v>38</v>
      </c>
      <c r="D43" s="94" t="s">
        <v>133</v>
      </c>
      <c r="E43" s="40" t="s">
        <v>52</v>
      </c>
      <c r="F43" s="94" t="s">
        <v>134</v>
      </c>
      <c r="G43" s="99" t="s">
        <v>135</v>
      </c>
      <c r="H43" s="128">
        <v>1321</v>
      </c>
      <c r="I43" s="134">
        <v>45749</v>
      </c>
      <c r="J43" s="70">
        <v>1440</v>
      </c>
      <c r="K43" s="135">
        <v>0</v>
      </c>
      <c r="L43" s="50">
        <v>0</v>
      </c>
      <c r="M43" s="97">
        <f>18+17.28+31.1</f>
        <v>66.38</v>
      </c>
      <c r="N43" s="135">
        <v>360</v>
      </c>
      <c r="O43" s="51">
        <f t="shared" si="2"/>
        <v>1800</v>
      </c>
      <c r="P43" s="5"/>
    </row>
    <row r="44" spans="2:16" ht="51.75" customHeight="1" x14ac:dyDescent="0.25">
      <c r="B44" s="126" t="s">
        <v>24</v>
      </c>
      <c r="C44" s="41" t="s">
        <v>38</v>
      </c>
      <c r="D44" s="94" t="s">
        <v>136</v>
      </c>
      <c r="E44" s="40" t="s">
        <v>52</v>
      </c>
      <c r="F44" s="99" t="s">
        <v>137</v>
      </c>
      <c r="G44" s="94" t="s">
        <v>138</v>
      </c>
      <c r="H44" s="141">
        <v>1322</v>
      </c>
      <c r="I44" s="134">
        <v>45749</v>
      </c>
      <c r="J44" s="70">
        <v>1440</v>
      </c>
      <c r="K44" s="135">
        <v>0</v>
      </c>
      <c r="L44" s="50">
        <v>0</v>
      </c>
      <c r="M44" s="135">
        <f t="shared" ref="M44:M49" si="3">18+17.28+28.8</f>
        <v>64.08</v>
      </c>
      <c r="N44" s="135">
        <v>360</v>
      </c>
      <c r="O44" s="51">
        <f t="shared" si="2"/>
        <v>1800</v>
      </c>
      <c r="P44" s="5"/>
    </row>
    <row r="45" spans="2:16" ht="51" customHeight="1" x14ac:dyDescent="0.25">
      <c r="B45" s="126" t="s">
        <v>24</v>
      </c>
      <c r="C45" s="41" t="s">
        <v>38</v>
      </c>
      <c r="D45" s="94" t="s">
        <v>139</v>
      </c>
      <c r="E45" s="40" t="s">
        <v>52</v>
      </c>
      <c r="F45" s="94" t="s">
        <v>140</v>
      </c>
      <c r="G45" s="99" t="s">
        <v>141</v>
      </c>
      <c r="H45" s="128">
        <v>1323</v>
      </c>
      <c r="I45" s="134">
        <v>45749</v>
      </c>
      <c r="J45" s="70">
        <v>1440</v>
      </c>
      <c r="K45" s="135">
        <v>0</v>
      </c>
      <c r="L45" s="50">
        <v>0</v>
      </c>
      <c r="M45" s="97">
        <f t="shared" si="3"/>
        <v>64.08</v>
      </c>
      <c r="N45" s="135">
        <v>360</v>
      </c>
      <c r="O45" s="51">
        <f t="shared" si="2"/>
        <v>1800</v>
      </c>
      <c r="P45" s="5"/>
    </row>
    <row r="46" spans="2:16" ht="48.75" customHeight="1" x14ac:dyDescent="0.25">
      <c r="B46" s="111" t="s">
        <v>24</v>
      </c>
      <c r="C46" s="41" t="s">
        <v>38</v>
      </c>
      <c r="D46" s="99" t="s">
        <v>142</v>
      </c>
      <c r="E46" s="40" t="s">
        <v>52</v>
      </c>
      <c r="F46" s="99" t="s">
        <v>143</v>
      </c>
      <c r="G46" s="43" t="s">
        <v>144</v>
      </c>
      <c r="H46" s="112">
        <v>1324</v>
      </c>
      <c r="I46" s="134">
        <v>45749</v>
      </c>
      <c r="J46" s="70">
        <v>1440</v>
      </c>
      <c r="K46" s="135">
        <v>0</v>
      </c>
      <c r="L46" s="50">
        <v>0</v>
      </c>
      <c r="M46" s="97">
        <f t="shared" si="3"/>
        <v>64.08</v>
      </c>
      <c r="N46" s="135">
        <v>360</v>
      </c>
      <c r="O46" s="51">
        <f t="shared" si="2"/>
        <v>1800</v>
      </c>
      <c r="P46" s="5"/>
    </row>
    <row r="47" spans="2:16" ht="50.25" customHeight="1" x14ac:dyDescent="0.25">
      <c r="B47" s="126" t="s">
        <v>24</v>
      </c>
      <c r="C47" s="41" t="s">
        <v>38</v>
      </c>
      <c r="D47" s="94" t="s">
        <v>145</v>
      </c>
      <c r="E47" s="40" t="s">
        <v>52</v>
      </c>
      <c r="F47" s="43" t="s">
        <v>146</v>
      </c>
      <c r="G47" s="43" t="s">
        <v>147</v>
      </c>
      <c r="H47" s="128">
        <v>1325</v>
      </c>
      <c r="I47" s="143">
        <v>45749</v>
      </c>
      <c r="J47" s="70">
        <v>1440</v>
      </c>
      <c r="K47" s="135">
        <v>0</v>
      </c>
      <c r="L47" s="50">
        <v>0</v>
      </c>
      <c r="M47" s="97">
        <f t="shared" si="3"/>
        <v>64.08</v>
      </c>
      <c r="N47" s="135">
        <v>360</v>
      </c>
      <c r="O47" s="110">
        <f t="shared" si="2"/>
        <v>1800</v>
      </c>
      <c r="P47" s="5"/>
    </row>
    <row r="48" spans="2:16" ht="50.25" customHeight="1" x14ac:dyDescent="0.25">
      <c r="B48" s="133" t="s">
        <v>24</v>
      </c>
      <c r="C48" s="41" t="s">
        <v>38</v>
      </c>
      <c r="D48" s="99" t="s">
        <v>148</v>
      </c>
      <c r="E48" s="40" t="s">
        <v>52</v>
      </c>
      <c r="F48" s="43" t="s">
        <v>149</v>
      </c>
      <c r="G48" s="127" t="s">
        <v>150</v>
      </c>
      <c r="H48" s="144">
        <v>1326</v>
      </c>
      <c r="I48" s="134">
        <v>45749</v>
      </c>
      <c r="J48" s="113">
        <v>1440</v>
      </c>
      <c r="K48" s="132">
        <v>0</v>
      </c>
      <c r="L48" s="50">
        <v>0</v>
      </c>
      <c r="M48" s="90">
        <f t="shared" si="3"/>
        <v>64.08</v>
      </c>
      <c r="N48" s="132">
        <v>360</v>
      </c>
      <c r="O48" s="110">
        <f t="shared" si="2"/>
        <v>1800</v>
      </c>
      <c r="P48" s="5"/>
    </row>
    <row r="49" spans="2:16" ht="49.5" customHeight="1" x14ac:dyDescent="0.25">
      <c r="B49" s="126" t="s">
        <v>24</v>
      </c>
      <c r="C49" s="41" t="s">
        <v>38</v>
      </c>
      <c r="D49" s="94" t="s">
        <v>151</v>
      </c>
      <c r="E49" s="40" t="s">
        <v>52</v>
      </c>
      <c r="F49" s="94" t="s">
        <v>152</v>
      </c>
      <c r="G49" s="99" t="s">
        <v>153</v>
      </c>
      <c r="H49" s="128">
        <v>1327</v>
      </c>
      <c r="I49" s="134">
        <v>45749</v>
      </c>
      <c r="J49" s="70">
        <v>1440</v>
      </c>
      <c r="K49" s="135">
        <v>0</v>
      </c>
      <c r="L49" s="50">
        <v>0</v>
      </c>
      <c r="M49" s="97">
        <f t="shared" si="3"/>
        <v>64.08</v>
      </c>
      <c r="N49" s="135">
        <v>360</v>
      </c>
      <c r="O49" s="110">
        <f t="shared" si="2"/>
        <v>1800</v>
      </c>
      <c r="P49" s="5"/>
    </row>
    <row r="50" spans="2:16" ht="50.25" customHeight="1" x14ac:dyDescent="0.25">
      <c r="B50" s="111" t="s">
        <v>24</v>
      </c>
      <c r="C50" s="41" t="s">
        <v>38</v>
      </c>
      <c r="D50" s="99" t="s">
        <v>154</v>
      </c>
      <c r="E50" s="40" t="s">
        <v>52</v>
      </c>
      <c r="F50" s="99" t="s">
        <v>155</v>
      </c>
      <c r="G50" s="43" t="s">
        <v>156</v>
      </c>
      <c r="H50" s="112">
        <v>1328</v>
      </c>
      <c r="I50" s="130">
        <v>45750</v>
      </c>
      <c r="J50" s="113">
        <v>2720</v>
      </c>
      <c r="K50" s="132">
        <v>0</v>
      </c>
      <c r="L50" s="108">
        <v>0</v>
      </c>
      <c r="M50" s="90">
        <f>34+32.64+54.4</f>
        <v>121.03999999999999</v>
      </c>
      <c r="N50" s="132">
        <v>680</v>
      </c>
      <c r="O50" s="110">
        <f t="shared" si="2"/>
        <v>3400</v>
      </c>
      <c r="P50" s="5"/>
    </row>
    <row r="51" spans="2:16" ht="49.5" customHeight="1" x14ac:dyDescent="0.25">
      <c r="B51" s="126" t="s">
        <v>24</v>
      </c>
      <c r="C51" s="41" t="s">
        <v>38</v>
      </c>
      <c r="D51" s="94" t="s">
        <v>157</v>
      </c>
      <c r="E51" s="40" t="s">
        <v>158</v>
      </c>
      <c r="F51" s="94" t="s">
        <v>159</v>
      </c>
      <c r="G51" s="94" t="s">
        <v>160</v>
      </c>
      <c r="H51" s="128">
        <v>1329</v>
      </c>
      <c r="I51" s="134">
        <v>45750</v>
      </c>
      <c r="J51" s="70">
        <v>63632</v>
      </c>
      <c r="K51" s="135">
        <v>0</v>
      </c>
      <c r="L51" s="50">
        <v>0</v>
      </c>
      <c r="M51" s="97">
        <f>795.4+763.58+3181.6</f>
        <v>4740.58</v>
      </c>
      <c r="N51" s="135">
        <v>15908</v>
      </c>
      <c r="O51" s="51">
        <f t="shared" si="2"/>
        <v>79540</v>
      </c>
      <c r="P51" s="5"/>
    </row>
    <row r="52" spans="2:16" ht="49.5" customHeight="1" x14ac:dyDescent="0.25">
      <c r="B52" s="111" t="s">
        <v>17</v>
      </c>
      <c r="C52" s="145" t="s">
        <v>17</v>
      </c>
      <c r="D52" s="43" t="s">
        <v>161</v>
      </c>
      <c r="E52" s="40">
        <v>45750</v>
      </c>
      <c r="F52" s="52" t="s">
        <v>162</v>
      </c>
      <c r="G52" s="94" t="s">
        <v>163</v>
      </c>
      <c r="H52" s="121">
        <v>1330</v>
      </c>
      <c r="I52" s="130">
        <v>45750</v>
      </c>
      <c r="J52" s="113">
        <v>0</v>
      </c>
      <c r="K52" s="132">
        <v>20697.55</v>
      </c>
      <c r="L52" s="108"/>
      <c r="M52" s="90">
        <f>1034.88+993.48</f>
        <v>2028.3600000000001</v>
      </c>
      <c r="N52" s="132">
        <v>0</v>
      </c>
      <c r="O52" s="51">
        <f t="shared" si="2"/>
        <v>20697.55</v>
      </c>
      <c r="P52" s="5"/>
    </row>
    <row r="53" spans="2:16" ht="49.5" customHeight="1" x14ac:dyDescent="0.25">
      <c r="B53" s="111" t="s">
        <v>24</v>
      </c>
      <c r="C53" s="111" t="s">
        <v>24</v>
      </c>
      <c r="D53" s="43" t="s">
        <v>164</v>
      </c>
      <c r="E53" s="130">
        <v>45750</v>
      </c>
      <c r="F53" s="52" t="s">
        <v>162</v>
      </c>
      <c r="G53" s="94" t="s">
        <v>163</v>
      </c>
      <c r="H53" s="121">
        <v>1331</v>
      </c>
      <c r="I53" s="130">
        <v>45750</v>
      </c>
      <c r="J53" s="113">
        <v>0</v>
      </c>
      <c r="K53" s="132">
        <v>79280.95</v>
      </c>
      <c r="L53" s="108"/>
      <c r="M53" s="90">
        <f>3964.05+3805.49</f>
        <v>7769.54</v>
      </c>
      <c r="N53" s="132"/>
      <c r="O53" s="110">
        <v>79280.95</v>
      </c>
      <c r="P53" s="5"/>
    </row>
    <row r="54" spans="2:16" ht="49.5" customHeight="1" x14ac:dyDescent="0.25">
      <c r="B54" s="111" t="s">
        <v>24</v>
      </c>
      <c r="C54" s="111" t="s">
        <v>24</v>
      </c>
      <c r="D54" s="43" t="s">
        <v>165</v>
      </c>
      <c r="E54" s="130">
        <v>45750</v>
      </c>
      <c r="F54" s="45" t="s">
        <v>166</v>
      </c>
      <c r="G54" s="43" t="s">
        <v>167</v>
      </c>
      <c r="H54" s="121">
        <v>1332</v>
      </c>
      <c r="I54" s="130">
        <v>45750</v>
      </c>
      <c r="J54" s="113">
        <v>0</v>
      </c>
      <c r="K54" s="132">
        <v>2550</v>
      </c>
      <c r="L54" s="108"/>
      <c r="M54" s="90">
        <f>0.02+60.69</f>
        <v>60.71</v>
      </c>
      <c r="N54" s="132">
        <v>0.26</v>
      </c>
      <c r="O54" s="110">
        <v>2550.2600000000002</v>
      </c>
      <c r="P54" s="5"/>
    </row>
    <row r="55" spans="2:16" ht="50.25" customHeight="1" x14ac:dyDescent="0.25">
      <c r="B55" s="111" t="s">
        <v>24</v>
      </c>
      <c r="C55" s="145" t="s">
        <v>24</v>
      </c>
      <c r="D55" s="43" t="s">
        <v>168</v>
      </c>
      <c r="E55" s="130">
        <v>45750</v>
      </c>
      <c r="F55" s="43" t="s">
        <v>169</v>
      </c>
      <c r="G55" s="43" t="s">
        <v>170</v>
      </c>
      <c r="H55" s="121">
        <v>1333</v>
      </c>
      <c r="I55" s="130">
        <v>45750</v>
      </c>
      <c r="J55" s="113">
        <v>5280</v>
      </c>
      <c r="K55" s="132">
        <v>0</v>
      </c>
      <c r="L55" s="108">
        <v>0</v>
      </c>
      <c r="M55" s="90">
        <f>66+63.36+253.44</f>
        <v>382.8</v>
      </c>
      <c r="N55" s="132">
        <v>1320</v>
      </c>
      <c r="O55" s="110">
        <f>J55+K55+N55</f>
        <v>6600</v>
      </c>
      <c r="P55" s="5"/>
    </row>
    <row r="56" spans="2:16" ht="55.5" customHeight="1" x14ac:dyDescent="0.25">
      <c r="B56" s="111" t="s">
        <v>17</v>
      </c>
      <c r="C56" s="145" t="s">
        <v>17</v>
      </c>
      <c r="D56" s="45" t="s">
        <v>171</v>
      </c>
      <c r="E56" s="130">
        <v>45789</v>
      </c>
      <c r="F56" s="45" t="s">
        <v>19</v>
      </c>
      <c r="G56" s="45" t="s">
        <v>20</v>
      </c>
      <c r="H56" s="121">
        <v>1358</v>
      </c>
      <c r="I56" s="130">
        <v>45789</v>
      </c>
      <c r="J56" s="113">
        <v>0</v>
      </c>
      <c r="K56" s="113">
        <v>590</v>
      </c>
      <c r="L56" s="50">
        <v>0</v>
      </c>
      <c r="M56" s="146">
        <v>11.8</v>
      </c>
      <c r="N56" s="132">
        <v>0.06</v>
      </c>
      <c r="O56" s="110">
        <f>J56+K56+N56</f>
        <v>590.05999999999995</v>
      </c>
      <c r="P56" s="5"/>
    </row>
    <row r="57" spans="2:16" ht="50.25" customHeight="1" x14ac:dyDescent="0.25">
      <c r="B57" s="111" t="s">
        <v>17</v>
      </c>
      <c r="C57" s="145" t="s">
        <v>17</v>
      </c>
      <c r="D57" s="45" t="s">
        <v>172</v>
      </c>
      <c r="E57" s="130">
        <v>45789</v>
      </c>
      <c r="F57" s="45" t="s">
        <v>173</v>
      </c>
      <c r="G57" s="45" t="s">
        <v>174</v>
      </c>
      <c r="H57" s="121">
        <v>1359</v>
      </c>
      <c r="I57" s="130">
        <v>45789</v>
      </c>
      <c r="J57" s="69">
        <v>0</v>
      </c>
      <c r="K57" s="69">
        <v>48237</v>
      </c>
      <c r="L57" s="108">
        <v>0</v>
      </c>
      <c r="M57" s="147">
        <f>0.24+0.23+964.74+2315.38</f>
        <v>3280.59</v>
      </c>
      <c r="N57" s="132">
        <v>4.82</v>
      </c>
      <c r="O57" s="110">
        <f t="shared" ref="O57:O60" si="4">J57+K57+N57</f>
        <v>48241.82</v>
      </c>
      <c r="P57" s="5"/>
    </row>
    <row r="58" spans="2:16" ht="50.25" customHeight="1" x14ac:dyDescent="0.25">
      <c r="B58" s="148" t="s">
        <v>17</v>
      </c>
      <c r="C58" s="149" t="s">
        <v>17</v>
      </c>
      <c r="D58" s="45" t="s">
        <v>175</v>
      </c>
      <c r="E58" s="130">
        <v>45789</v>
      </c>
      <c r="F58" s="45" t="s">
        <v>173</v>
      </c>
      <c r="G58" s="45" t="s">
        <v>174</v>
      </c>
      <c r="H58" s="150">
        <v>1360</v>
      </c>
      <c r="I58" s="130">
        <v>45789</v>
      </c>
      <c r="J58" s="69">
        <v>0</v>
      </c>
      <c r="K58" s="69">
        <v>49990</v>
      </c>
      <c r="L58" s="50">
        <v>0</v>
      </c>
      <c r="M58" s="151">
        <f>0.25+0.24+999.8+2399.52</f>
        <v>3399.81</v>
      </c>
      <c r="N58" s="152">
        <v>5</v>
      </c>
      <c r="O58" s="51">
        <f t="shared" si="4"/>
        <v>49995</v>
      </c>
      <c r="P58" s="5"/>
    </row>
    <row r="59" spans="2:16" ht="67.5" customHeight="1" x14ac:dyDescent="0.25">
      <c r="B59" s="126" t="s">
        <v>17</v>
      </c>
      <c r="C59" s="145" t="s">
        <v>17</v>
      </c>
      <c r="D59" s="52" t="s">
        <v>176</v>
      </c>
      <c r="E59" s="134">
        <v>45789</v>
      </c>
      <c r="F59" s="153" t="s">
        <v>177</v>
      </c>
      <c r="G59" s="52" t="s">
        <v>178</v>
      </c>
      <c r="H59" s="128">
        <v>1361</v>
      </c>
      <c r="I59" s="134">
        <v>45789</v>
      </c>
      <c r="J59" s="154">
        <v>0</v>
      </c>
      <c r="K59" s="154">
        <v>19960</v>
      </c>
      <c r="L59" s="155">
        <v>0</v>
      </c>
      <c r="M59" s="156">
        <v>0.2</v>
      </c>
      <c r="N59" s="157">
        <v>2</v>
      </c>
      <c r="O59" s="158">
        <f t="shared" si="4"/>
        <v>19962</v>
      </c>
      <c r="P59" s="5"/>
    </row>
    <row r="60" spans="2:16" ht="61.5" customHeight="1" x14ac:dyDescent="0.25">
      <c r="B60" s="159" t="s">
        <v>17</v>
      </c>
      <c r="C60" s="160" t="s">
        <v>17</v>
      </c>
      <c r="D60" s="62" t="s">
        <v>179</v>
      </c>
      <c r="E60" s="134">
        <v>45789</v>
      </c>
      <c r="F60" s="62" t="s">
        <v>180</v>
      </c>
      <c r="G60" s="52" t="s">
        <v>181</v>
      </c>
      <c r="H60" s="128">
        <v>1362</v>
      </c>
      <c r="I60" s="134">
        <v>45789</v>
      </c>
      <c r="J60" s="154">
        <v>0</v>
      </c>
      <c r="K60" s="154">
        <v>3900</v>
      </c>
      <c r="L60" s="108">
        <v>0</v>
      </c>
      <c r="M60" s="147">
        <f>0.02+0.02+97.5</f>
        <v>97.54</v>
      </c>
      <c r="N60" s="132">
        <v>0.39</v>
      </c>
      <c r="O60" s="110">
        <f t="shared" si="4"/>
        <v>3900.39</v>
      </c>
      <c r="P60" s="5"/>
    </row>
    <row r="61" spans="2:16" ht="50.25" customHeight="1" x14ac:dyDescent="0.25">
      <c r="B61" s="126" t="s">
        <v>17</v>
      </c>
      <c r="C61" s="161" t="s">
        <v>17</v>
      </c>
      <c r="D61" s="94" t="s">
        <v>182</v>
      </c>
      <c r="E61" s="134">
        <v>45789</v>
      </c>
      <c r="F61" s="52" t="s">
        <v>36</v>
      </c>
      <c r="G61" s="74" t="s">
        <v>183</v>
      </c>
      <c r="H61" s="162">
        <v>1363</v>
      </c>
      <c r="I61" s="163">
        <v>45789</v>
      </c>
      <c r="J61" s="164">
        <v>0</v>
      </c>
      <c r="K61" s="164">
        <v>10870.3</v>
      </c>
      <c r="L61" s="50">
        <v>0</v>
      </c>
      <c r="M61" s="151">
        <f>0.05+0.05</f>
        <v>0.1</v>
      </c>
      <c r="N61" s="131">
        <v>1.0900000000000001</v>
      </c>
      <c r="O61" s="110">
        <f>J61+K61+N61</f>
        <v>10871.39</v>
      </c>
      <c r="P61" s="5"/>
    </row>
    <row r="62" spans="2:16" ht="50.25" customHeight="1" x14ac:dyDescent="0.25">
      <c r="B62" s="133" t="s">
        <v>17</v>
      </c>
      <c r="C62" s="165" t="s">
        <v>17</v>
      </c>
      <c r="D62" s="166" t="s">
        <v>184</v>
      </c>
      <c r="E62" s="40">
        <v>45789</v>
      </c>
      <c r="F62" s="166" t="s">
        <v>49</v>
      </c>
      <c r="G62" s="167" t="s">
        <v>185</v>
      </c>
      <c r="H62" s="138">
        <v>1367</v>
      </c>
      <c r="I62" s="163">
        <v>45789</v>
      </c>
      <c r="J62" s="168">
        <v>35840</v>
      </c>
      <c r="K62" s="139">
        <v>0</v>
      </c>
      <c r="L62" s="155">
        <v>0</v>
      </c>
      <c r="M62" s="156">
        <f>448+430.08</f>
        <v>878.07999999999993</v>
      </c>
      <c r="N62" s="135">
        <v>8960</v>
      </c>
      <c r="O62" s="110">
        <f t="shared" si="2"/>
        <v>44800</v>
      </c>
      <c r="P62" s="5"/>
    </row>
    <row r="63" spans="2:16" ht="50.25" customHeight="1" x14ac:dyDescent="0.25">
      <c r="B63" s="126" t="s">
        <v>17</v>
      </c>
      <c r="C63" s="169" t="s">
        <v>17</v>
      </c>
      <c r="D63" s="52" t="s">
        <v>186</v>
      </c>
      <c r="E63" s="40">
        <v>45789</v>
      </c>
      <c r="F63" s="52" t="s">
        <v>187</v>
      </c>
      <c r="G63" s="99" t="s">
        <v>188</v>
      </c>
      <c r="H63" s="128">
        <v>1368</v>
      </c>
      <c r="I63" s="170">
        <v>45789</v>
      </c>
      <c r="J63" s="70">
        <v>35850.239999999998</v>
      </c>
      <c r="K63" s="171">
        <v>0</v>
      </c>
      <c r="L63" s="108">
        <v>0</v>
      </c>
      <c r="M63" s="147">
        <f>448.13+430.2+1792.51+1720.81</f>
        <v>4391.6499999999996</v>
      </c>
      <c r="N63" s="135">
        <v>8962.56</v>
      </c>
      <c r="O63" s="110">
        <f t="shared" si="2"/>
        <v>44812.799999999996</v>
      </c>
      <c r="P63" s="5"/>
    </row>
    <row r="64" spans="2:16" ht="50.25" customHeight="1" x14ac:dyDescent="0.25">
      <c r="B64" s="126" t="s">
        <v>17</v>
      </c>
      <c r="C64" s="160" t="s">
        <v>17</v>
      </c>
      <c r="D64" s="62" t="s">
        <v>189</v>
      </c>
      <c r="E64" s="40">
        <v>45789</v>
      </c>
      <c r="F64" s="62" t="s">
        <v>49</v>
      </c>
      <c r="G64" s="46" t="s">
        <v>50</v>
      </c>
      <c r="H64" s="141">
        <v>1369</v>
      </c>
      <c r="I64" s="170">
        <v>45789</v>
      </c>
      <c r="J64" s="172">
        <v>5574.24</v>
      </c>
      <c r="K64" s="171">
        <v>0</v>
      </c>
      <c r="L64" s="108">
        <v>0</v>
      </c>
      <c r="M64" s="147">
        <f>69.68+66.89</f>
        <v>136.57</v>
      </c>
      <c r="N64" s="135">
        <v>1393.56</v>
      </c>
      <c r="O64" s="110">
        <f t="shared" si="2"/>
        <v>6967.7999999999993</v>
      </c>
      <c r="P64" s="5"/>
    </row>
    <row r="65" spans="2:18" ht="50.25" customHeight="1" x14ac:dyDescent="0.25">
      <c r="B65" s="126" t="s">
        <v>17</v>
      </c>
      <c r="C65" s="169" t="s">
        <v>17</v>
      </c>
      <c r="D65" s="45" t="s">
        <v>190</v>
      </c>
      <c r="E65" s="40">
        <v>45789</v>
      </c>
      <c r="F65" s="46" t="s">
        <v>169</v>
      </c>
      <c r="G65" s="46" t="s">
        <v>170</v>
      </c>
      <c r="H65" s="141">
        <v>1370</v>
      </c>
      <c r="I65" s="170">
        <v>45789</v>
      </c>
      <c r="J65" s="172">
        <v>5280</v>
      </c>
      <c r="K65" s="171">
        <v>0</v>
      </c>
      <c r="L65" s="108">
        <v>0</v>
      </c>
      <c r="M65" s="147">
        <f>66+63.36+253.44</f>
        <v>382.8</v>
      </c>
      <c r="N65" s="135">
        <v>1320</v>
      </c>
      <c r="O65" s="110">
        <f t="shared" si="2"/>
        <v>6600</v>
      </c>
      <c r="P65" s="5"/>
    </row>
    <row r="66" spans="2:18" ht="50.25" customHeight="1" x14ac:dyDescent="0.25">
      <c r="B66" s="126" t="s">
        <v>17</v>
      </c>
      <c r="C66" s="169" t="s">
        <v>17</v>
      </c>
      <c r="D66" s="52" t="s">
        <v>191</v>
      </c>
      <c r="E66" s="40">
        <v>45789</v>
      </c>
      <c r="F66" s="52" t="s">
        <v>192</v>
      </c>
      <c r="G66" s="55" t="s">
        <v>193</v>
      </c>
      <c r="H66" s="141">
        <v>1371</v>
      </c>
      <c r="I66" s="170">
        <v>45789</v>
      </c>
      <c r="J66" s="172">
        <v>7180.8</v>
      </c>
      <c r="K66" s="172">
        <v>0</v>
      </c>
      <c r="L66" s="108">
        <v>0</v>
      </c>
      <c r="M66" s="173">
        <f>89.76+86.17+344.68</f>
        <v>520.61</v>
      </c>
      <c r="N66" s="172">
        <v>1795.2</v>
      </c>
      <c r="O66" s="172">
        <f t="shared" si="2"/>
        <v>8976</v>
      </c>
      <c r="P66" s="5"/>
    </row>
    <row r="67" spans="2:18" ht="50.25" customHeight="1" x14ac:dyDescent="0.25">
      <c r="B67" s="126" t="s">
        <v>17</v>
      </c>
      <c r="C67" s="169" t="s">
        <v>17</v>
      </c>
      <c r="D67" s="52" t="s">
        <v>194</v>
      </c>
      <c r="E67" s="40">
        <v>45789</v>
      </c>
      <c r="F67" s="174" t="s">
        <v>195</v>
      </c>
      <c r="G67" s="55" t="s">
        <v>196</v>
      </c>
      <c r="H67" s="141">
        <v>1372</v>
      </c>
      <c r="I67" s="134">
        <v>45789</v>
      </c>
      <c r="J67" s="172">
        <v>6451.2</v>
      </c>
      <c r="K67" s="172">
        <v>0</v>
      </c>
      <c r="L67" s="108">
        <v>0</v>
      </c>
      <c r="M67" s="173">
        <f>80.64+77.41+309.66</f>
        <v>467.71000000000004</v>
      </c>
      <c r="N67" s="175">
        <v>1612.8</v>
      </c>
      <c r="O67" s="172">
        <f>J67+K67+N67</f>
        <v>8064</v>
      </c>
      <c r="P67" s="5"/>
    </row>
    <row r="68" spans="2:18" ht="50.25" customHeight="1" x14ac:dyDescent="0.25">
      <c r="B68" s="111" t="s">
        <v>17</v>
      </c>
      <c r="C68" s="176" t="s">
        <v>17</v>
      </c>
      <c r="D68" s="45" t="s">
        <v>197</v>
      </c>
      <c r="E68" s="177">
        <v>45789</v>
      </c>
      <c r="F68" s="45" t="s">
        <v>159</v>
      </c>
      <c r="G68" s="178" t="s">
        <v>160</v>
      </c>
      <c r="H68" s="112">
        <v>1373</v>
      </c>
      <c r="I68" s="130">
        <v>45789</v>
      </c>
      <c r="J68" s="175">
        <v>36429.42</v>
      </c>
      <c r="K68" s="175">
        <v>0</v>
      </c>
      <c r="L68" s="108">
        <v>0</v>
      </c>
      <c r="M68" s="179">
        <f>455.37+437.15+1821.47</f>
        <v>2713.99</v>
      </c>
      <c r="N68" s="172">
        <v>9107.36</v>
      </c>
      <c r="O68" s="180">
        <f>J68+K68+N68</f>
        <v>45536.78</v>
      </c>
      <c r="P68" s="5"/>
    </row>
    <row r="69" spans="2:18" ht="50.25" customHeight="1" x14ac:dyDescent="0.25">
      <c r="B69" s="181" t="s">
        <v>17</v>
      </c>
      <c r="C69" s="176" t="s">
        <v>17</v>
      </c>
      <c r="D69" s="182" t="s">
        <v>164</v>
      </c>
      <c r="E69" s="130">
        <v>45789</v>
      </c>
      <c r="F69" s="45" t="s">
        <v>162</v>
      </c>
      <c r="G69" s="43" t="s">
        <v>163</v>
      </c>
      <c r="H69" s="121">
        <v>1374</v>
      </c>
      <c r="I69" s="130">
        <v>45789</v>
      </c>
      <c r="J69" s="113">
        <v>0</v>
      </c>
      <c r="K69" s="113">
        <v>91002.62</v>
      </c>
      <c r="L69" s="183">
        <v>0</v>
      </c>
      <c r="M69" s="184">
        <f>4550.13+4368.13</f>
        <v>8918.26</v>
      </c>
      <c r="N69" s="108">
        <v>0</v>
      </c>
      <c r="O69" s="172">
        <f>J69+K69+N69</f>
        <v>91002.62</v>
      </c>
      <c r="P69" s="5"/>
    </row>
    <row r="70" spans="2:18" ht="50.25" customHeight="1" x14ac:dyDescent="0.25">
      <c r="B70" s="181" t="s">
        <v>17</v>
      </c>
      <c r="C70" s="176" t="s">
        <v>17</v>
      </c>
      <c r="D70" s="185" t="s">
        <v>164</v>
      </c>
      <c r="E70" s="186">
        <v>45810</v>
      </c>
      <c r="F70" s="52" t="s">
        <v>162</v>
      </c>
      <c r="G70" s="94" t="s">
        <v>163</v>
      </c>
      <c r="H70" s="128">
        <v>1441</v>
      </c>
      <c r="I70" s="187">
        <v>45810</v>
      </c>
      <c r="J70" s="70">
        <v>0</v>
      </c>
      <c r="K70" s="70">
        <v>57888.58</v>
      </c>
      <c r="L70" s="50">
        <v>0</v>
      </c>
      <c r="M70" s="173">
        <f>2894.43+2778.65</f>
        <v>5673.08</v>
      </c>
      <c r="N70" s="50">
        <v>0</v>
      </c>
      <c r="O70" s="180">
        <f>J70+K70+N70</f>
        <v>57888.58</v>
      </c>
      <c r="P70" s="5"/>
    </row>
    <row r="71" spans="2:18" ht="50.25" customHeight="1" x14ac:dyDescent="0.25">
      <c r="B71" s="181" t="s">
        <v>24</v>
      </c>
      <c r="C71" s="176" t="s">
        <v>24</v>
      </c>
      <c r="D71" s="52" t="s">
        <v>198</v>
      </c>
      <c r="E71" s="186">
        <v>45810</v>
      </c>
      <c r="F71" s="52" t="s">
        <v>162</v>
      </c>
      <c r="G71" s="94" t="s">
        <v>163</v>
      </c>
      <c r="H71" s="128">
        <v>1442</v>
      </c>
      <c r="I71" s="187">
        <v>45810</v>
      </c>
      <c r="J71" s="69">
        <v>0</v>
      </c>
      <c r="K71" s="154">
        <v>11721.3</v>
      </c>
      <c r="L71" s="50"/>
      <c r="M71" s="173">
        <f>586.07+562.62</f>
        <v>1148.69</v>
      </c>
      <c r="N71" s="50">
        <v>0</v>
      </c>
      <c r="O71" s="180">
        <f t="shared" ref="O71" si="5">J71+K71+N71</f>
        <v>11721.3</v>
      </c>
      <c r="P71" s="5"/>
    </row>
    <row r="72" spans="2:18" ht="50.25" customHeight="1" x14ac:dyDescent="0.25">
      <c r="B72" s="181" t="s">
        <v>17</v>
      </c>
      <c r="C72" s="145" t="s">
        <v>17</v>
      </c>
      <c r="D72" s="39" t="s">
        <v>199</v>
      </c>
      <c r="E72" s="188">
        <v>45825</v>
      </c>
      <c r="F72" s="166" t="s">
        <v>173</v>
      </c>
      <c r="G72" s="166" t="s">
        <v>174</v>
      </c>
      <c r="H72" s="189">
        <v>1446</v>
      </c>
      <c r="I72" s="190">
        <v>45825</v>
      </c>
      <c r="J72" s="175">
        <v>0</v>
      </c>
      <c r="K72" s="191">
        <v>20673</v>
      </c>
      <c r="L72" s="155">
        <v>0</v>
      </c>
      <c r="M72" s="192">
        <f>0.1+0.1+413.46+992.3</f>
        <v>1405.96</v>
      </c>
      <c r="N72" s="193">
        <v>2.0699999999999998</v>
      </c>
      <c r="O72" s="175">
        <f>J72+K72+N72</f>
        <v>20675.07</v>
      </c>
      <c r="P72" s="5"/>
    </row>
    <row r="73" spans="2:18" ht="57" customHeight="1" x14ac:dyDescent="0.25">
      <c r="B73" s="126" t="s">
        <v>17</v>
      </c>
      <c r="C73" s="160" t="s">
        <v>17</v>
      </c>
      <c r="D73" s="52" t="s">
        <v>200</v>
      </c>
      <c r="E73" s="134">
        <v>45825</v>
      </c>
      <c r="F73" s="52" t="s">
        <v>177</v>
      </c>
      <c r="G73" s="94" t="s">
        <v>178</v>
      </c>
      <c r="H73" s="128">
        <v>1447</v>
      </c>
      <c r="I73" s="170">
        <v>45825</v>
      </c>
      <c r="J73" s="172">
        <v>0</v>
      </c>
      <c r="K73" s="194">
        <v>800</v>
      </c>
      <c r="L73" s="50">
        <v>0</v>
      </c>
      <c r="M73" s="195">
        <v>0</v>
      </c>
      <c r="N73" s="172">
        <v>0.08</v>
      </c>
      <c r="O73" s="172">
        <f>J73+K73+N73</f>
        <v>800.08</v>
      </c>
      <c r="P73" s="5"/>
    </row>
    <row r="74" spans="2:18" ht="20.25" customHeight="1" x14ac:dyDescent="0.25">
      <c r="B74" s="26"/>
      <c r="C74" s="26"/>
      <c r="D74" s="27"/>
      <c r="E74" s="28"/>
      <c r="F74" s="28"/>
      <c r="G74" s="29"/>
      <c r="H74" s="29" t="s">
        <v>201</v>
      </c>
      <c r="I74" s="29"/>
      <c r="J74" s="31">
        <f>SUM(J6:J73)</f>
        <v>322092.93</v>
      </c>
      <c r="K74" s="31">
        <f>SUM(K6:K73)</f>
        <v>579181.30000000005</v>
      </c>
      <c r="L74" s="31">
        <f>SUM(L15:L18)</f>
        <v>0</v>
      </c>
      <c r="M74" s="31">
        <f>SUM(M6:M73)</f>
        <v>61466.28</v>
      </c>
      <c r="N74" s="31">
        <f>SUM(N6:N73)</f>
        <v>80555.12</v>
      </c>
      <c r="O74" s="31">
        <f>SUM(O6:O73)</f>
        <v>981829.35000000009</v>
      </c>
      <c r="P74" s="5"/>
      <c r="R74" s="5"/>
    </row>
    <row r="75" spans="2:18" ht="44.25" customHeight="1" x14ac:dyDescent="0.25">
      <c r="B75" s="1" t="s">
        <v>202</v>
      </c>
      <c r="C75"/>
      <c r="E75"/>
      <c r="F75" s="6" t="s">
        <v>203</v>
      </c>
      <c r="H75"/>
      <c r="I75"/>
      <c r="J75" s="5"/>
      <c r="K75"/>
      <c r="L75"/>
      <c r="M75" s="5"/>
      <c r="N75" s="5"/>
      <c r="O75" s="5"/>
      <c r="P75" s="25"/>
    </row>
    <row r="76" spans="2:18" ht="60" customHeight="1" x14ac:dyDescent="0.25">
      <c r="B76" s="199" t="s">
        <v>204</v>
      </c>
      <c r="C76" s="199"/>
      <c r="E76"/>
      <c r="F76"/>
      <c r="H76"/>
      <c r="I76"/>
      <c r="J76"/>
      <c r="K76"/>
      <c r="L76"/>
      <c r="N76"/>
      <c r="O76" s="5"/>
      <c r="P76" s="5"/>
    </row>
    <row r="77" spans="2:18" ht="36" x14ac:dyDescent="0.25">
      <c r="B77" s="24" t="s">
        <v>3</v>
      </c>
      <c r="C77" s="24" t="s">
        <v>4</v>
      </c>
      <c r="D77" s="24" t="s">
        <v>5</v>
      </c>
      <c r="E77" s="24" t="s">
        <v>6</v>
      </c>
      <c r="F77" s="24" t="s">
        <v>7</v>
      </c>
      <c r="G77" s="24" t="s">
        <v>8</v>
      </c>
      <c r="H77" s="24" t="s">
        <v>9</v>
      </c>
      <c r="I77" s="24" t="s">
        <v>10</v>
      </c>
      <c r="J77" s="24" t="s">
        <v>11</v>
      </c>
      <c r="K77" s="24" t="s">
        <v>12</v>
      </c>
      <c r="L77" s="24" t="s">
        <v>13</v>
      </c>
      <c r="M77" s="24" t="s">
        <v>14</v>
      </c>
      <c r="N77" s="24" t="s">
        <v>15</v>
      </c>
      <c r="O77" s="24" t="s">
        <v>16</v>
      </c>
    </row>
    <row r="78" spans="2:18" x14ac:dyDescent="0.25">
      <c r="B78" s="15" t="s">
        <v>205</v>
      </c>
      <c r="C78" s="15" t="s">
        <v>205</v>
      </c>
      <c r="D78" s="21" t="s">
        <v>206</v>
      </c>
      <c r="E78" s="22">
        <v>45748</v>
      </c>
      <c r="F78" s="21" t="s">
        <v>207</v>
      </c>
      <c r="G78" s="21"/>
      <c r="H78" s="15"/>
      <c r="I78" s="15"/>
      <c r="J78" s="16">
        <v>14515.52</v>
      </c>
      <c r="K78" s="15"/>
      <c r="L78" s="15"/>
      <c r="M78" s="15"/>
      <c r="N78" s="15"/>
      <c r="O78" s="16">
        <f>J78</f>
        <v>14515.52</v>
      </c>
    </row>
    <row r="79" spans="2:18" x14ac:dyDescent="0.25">
      <c r="B79" s="15" t="s">
        <v>205</v>
      </c>
      <c r="C79" s="15" t="s">
        <v>208</v>
      </c>
      <c r="D79" s="21" t="s">
        <v>206</v>
      </c>
      <c r="E79" s="22">
        <v>45778</v>
      </c>
      <c r="F79" s="21" t="s">
        <v>207</v>
      </c>
      <c r="G79" s="33"/>
      <c r="H79" s="17"/>
      <c r="I79" s="17"/>
      <c r="J79" s="16">
        <v>29301.599999999999</v>
      </c>
      <c r="K79" s="15"/>
      <c r="L79" s="15"/>
      <c r="M79" s="15"/>
      <c r="N79" s="15"/>
      <c r="O79" s="16">
        <f>J79</f>
        <v>29301.599999999999</v>
      </c>
    </row>
    <row r="80" spans="2:18" x14ac:dyDescent="0.25">
      <c r="B80" s="15" t="s">
        <v>205</v>
      </c>
      <c r="C80" s="15" t="s">
        <v>208</v>
      </c>
      <c r="D80" s="21" t="s">
        <v>206</v>
      </c>
      <c r="E80" s="22">
        <v>45809</v>
      </c>
      <c r="F80" s="21" t="s">
        <v>207</v>
      </c>
      <c r="G80" s="21"/>
      <c r="H80" s="15"/>
      <c r="I80" s="15"/>
      <c r="J80" s="16">
        <v>16740.8</v>
      </c>
      <c r="K80" s="15"/>
      <c r="L80" s="15"/>
      <c r="M80" s="15"/>
      <c r="N80" s="15"/>
      <c r="O80" s="16">
        <f t="shared" ref="O80" si="6">J80</f>
        <v>16740.8</v>
      </c>
    </row>
    <row r="81" spans="2:15" x14ac:dyDescent="0.25">
      <c r="B81" s="18"/>
      <c r="C81" s="18"/>
      <c r="D81" s="18"/>
      <c r="E81" s="18"/>
      <c r="F81" s="18"/>
      <c r="G81" s="34"/>
      <c r="H81" s="19"/>
      <c r="I81" s="19" t="s">
        <v>201</v>
      </c>
      <c r="J81" s="20">
        <f>SUM(J78:J80)</f>
        <v>60557.919999999998</v>
      </c>
      <c r="K81" s="19"/>
      <c r="L81" s="19"/>
      <c r="M81" s="19"/>
      <c r="N81" s="19"/>
      <c r="O81" s="20">
        <f>SUM(O78:O80)</f>
        <v>60557.919999999998</v>
      </c>
    </row>
    <row r="82" spans="2:15" x14ac:dyDescent="0.25">
      <c r="B82" s="10"/>
      <c r="C82" s="11"/>
      <c r="D82" s="12"/>
      <c r="E82" s="11"/>
      <c r="F82" s="11"/>
    </row>
    <row r="83" spans="2:15" ht="30" customHeight="1" x14ac:dyDescent="0.25">
      <c r="B83" s="196" t="s">
        <v>209</v>
      </c>
      <c r="C83" s="196"/>
      <c r="E83"/>
      <c r="F83"/>
    </row>
    <row r="84" spans="2:15" ht="30" customHeight="1" x14ac:dyDescent="0.25">
      <c r="B84" s="200" t="s">
        <v>210</v>
      </c>
      <c r="C84" s="201"/>
      <c r="D84" s="201"/>
      <c r="E84" s="201"/>
      <c r="F84" s="202"/>
    </row>
    <row r="85" spans="2:15" ht="22.5" x14ac:dyDescent="0.25">
      <c r="B85" s="23" t="s">
        <v>211</v>
      </c>
      <c r="C85" s="23" t="s">
        <v>212</v>
      </c>
      <c r="D85" s="23" t="s">
        <v>208</v>
      </c>
      <c r="E85" s="23" t="s">
        <v>213</v>
      </c>
      <c r="F85" s="23" t="s">
        <v>201</v>
      </c>
    </row>
    <row r="86" spans="2:15" ht="33.75" x14ac:dyDescent="0.25">
      <c r="B86" s="7" t="s">
        <v>214</v>
      </c>
      <c r="C86" s="8">
        <v>910000</v>
      </c>
      <c r="D86" s="8">
        <v>250000</v>
      </c>
      <c r="E86" s="8">
        <v>2590000</v>
      </c>
      <c r="F86" s="8">
        <f>SUM(C86:E86)</f>
        <v>3750000</v>
      </c>
    </row>
    <row r="87" spans="2:15" ht="22.5" x14ac:dyDescent="0.25">
      <c r="B87" s="7" t="s">
        <v>215</v>
      </c>
      <c r="C87" s="8">
        <v>910000</v>
      </c>
      <c r="D87" s="8">
        <v>225000</v>
      </c>
      <c r="E87" s="8">
        <v>2590000</v>
      </c>
      <c r="F87" s="8">
        <f t="shared" ref="F87:F92" si="7">SUM(C87:E87)</f>
        <v>3725000</v>
      </c>
    </row>
    <row r="88" spans="2:15" ht="22.5" x14ac:dyDescent="0.25">
      <c r="B88" s="7" t="s">
        <v>216</v>
      </c>
      <c r="C88" s="8">
        <v>521535.06</v>
      </c>
      <c r="D88" s="9">
        <v>60557.919999999998</v>
      </c>
      <c r="E88" s="8">
        <v>460294.29</v>
      </c>
      <c r="F88" s="8">
        <f t="shared" si="7"/>
        <v>1042387.27</v>
      </c>
    </row>
    <row r="89" spans="2:15" ht="22.5" x14ac:dyDescent="0.25">
      <c r="B89" s="7" t="s">
        <v>217</v>
      </c>
      <c r="C89" s="8">
        <v>538463.81999999995</v>
      </c>
      <c r="D89" s="9">
        <v>86408.639999999999</v>
      </c>
      <c r="E89" s="8">
        <v>460294.29</v>
      </c>
      <c r="F89" s="8">
        <f>SUM(C89:E89)</f>
        <v>1085166.75</v>
      </c>
    </row>
    <row r="90" spans="2:15" ht="22.5" x14ac:dyDescent="0.25">
      <c r="B90" s="7" t="s">
        <v>218</v>
      </c>
      <c r="C90" s="8">
        <v>0</v>
      </c>
      <c r="D90" s="8">
        <f>D86-D87</f>
        <v>25000</v>
      </c>
      <c r="E90" s="8">
        <f>E86-E87</f>
        <v>0</v>
      </c>
      <c r="F90" s="8">
        <f t="shared" si="7"/>
        <v>25000</v>
      </c>
    </row>
    <row r="91" spans="2:15" ht="22.5" x14ac:dyDescent="0.25">
      <c r="B91" s="7" t="s">
        <v>219</v>
      </c>
      <c r="C91" s="8">
        <f>C86-C87</f>
        <v>0</v>
      </c>
      <c r="D91" s="8">
        <f>D86-D87</f>
        <v>25000</v>
      </c>
      <c r="E91" s="8">
        <f>E86-E87</f>
        <v>0</v>
      </c>
      <c r="F91" s="8">
        <f t="shared" si="7"/>
        <v>25000</v>
      </c>
    </row>
    <row r="92" spans="2:15" ht="33.75" x14ac:dyDescent="0.25">
      <c r="B92" s="7" t="s">
        <v>220</v>
      </c>
      <c r="C92" s="8">
        <v>0</v>
      </c>
      <c r="D92" s="8">
        <v>29390.880000000001</v>
      </c>
      <c r="E92" s="8">
        <v>0</v>
      </c>
      <c r="F92" s="8">
        <f t="shared" si="7"/>
        <v>29390.880000000001</v>
      </c>
    </row>
    <row r="93" spans="2:15" ht="22.5" x14ac:dyDescent="0.25">
      <c r="B93" s="7" t="s">
        <v>221</v>
      </c>
      <c r="C93" s="13">
        <f>C89+C92</f>
        <v>538463.81999999995</v>
      </c>
      <c r="D93" s="13">
        <f t="shared" ref="D93" si="8">D89+D92</f>
        <v>115799.52</v>
      </c>
      <c r="E93" s="13">
        <f>E89+E92</f>
        <v>460294.29</v>
      </c>
      <c r="F93" s="8">
        <f>C93+D93+E93</f>
        <v>1114557.6299999999</v>
      </c>
    </row>
  </sheetData>
  <mergeCells count="5">
    <mergeCell ref="B2:C2"/>
    <mergeCell ref="B4:C4"/>
    <mergeCell ref="B76:C76"/>
    <mergeCell ref="B83:C83"/>
    <mergeCell ref="B84:F84"/>
  </mergeCells>
  <phoneticPr fontId="11" type="noConversion"/>
  <pageMargins left="0.511811024" right="0.511811024" top="0.78740157499999996" bottom="0.78740157499999996" header="0.31496062000000002" footer="0.31496062000000002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06223-BD71-46C2-B815-0A5C0E3E41A2}">
  <sheetPr>
    <pageSetUpPr fitToPage="1"/>
  </sheetPr>
  <dimension ref="B1:P13"/>
  <sheetViews>
    <sheetView workbookViewId="0">
      <selection activeCell="N10" sqref="N10"/>
    </sheetView>
  </sheetViews>
  <sheetFormatPr defaultRowHeight="15" x14ac:dyDescent="0.25"/>
  <cols>
    <col min="1" max="1" width="4.85546875" customWidth="1"/>
    <col min="2" max="2" width="24.42578125" style="3" customWidth="1"/>
    <col min="3" max="3" width="16" style="3" customWidth="1"/>
    <col min="4" max="4" width="13.140625" customWidth="1"/>
    <col min="5" max="5" width="13.7109375" style="3" customWidth="1"/>
    <col min="6" max="6" width="13.140625" style="3" customWidth="1"/>
    <col min="7" max="7" width="15.28515625" style="3" customWidth="1"/>
    <col min="8" max="9" width="8.7109375" style="3" customWidth="1"/>
    <col min="10" max="10" width="10" style="3" customWidth="1"/>
    <col min="11" max="11" width="9.42578125" style="3" customWidth="1"/>
    <col min="12" max="12" width="8.7109375" style="3" customWidth="1"/>
    <col min="13" max="13" width="8" style="3" customWidth="1"/>
    <col min="14" max="14" width="9.7109375" customWidth="1"/>
    <col min="15" max="16" width="11.5703125" style="3" customWidth="1"/>
    <col min="17" max="17" width="17.85546875" customWidth="1"/>
  </cols>
  <sheetData>
    <row r="1" spans="2:6" x14ac:dyDescent="0.25">
      <c r="B1" s="2" t="s">
        <v>0</v>
      </c>
    </row>
    <row r="2" spans="2:6" ht="36.75" customHeight="1" x14ac:dyDescent="0.25">
      <c r="B2" s="2" t="s">
        <v>209</v>
      </c>
      <c r="C2"/>
      <c r="E2"/>
      <c r="F2"/>
    </row>
    <row r="3" spans="2:6" ht="28.5" customHeight="1" x14ac:dyDescent="0.25">
      <c r="B3" s="203" t="s">
        <v>222</v>
      </c>
      <c r="C3" s="203"/>
      <c r="E3"/>
      <c r="F3"/>
    </row>
    <row r="4" spans="2:6" ht="35.25" customHeight="1" x14ac:dyDescent="0.25">
      <c r="B4" s="14" t="s">
        <v>211</v>
      </c>
      <c r="C4" s="14" t="s">
        <v>212</v>
      </c>
      <c r="D4" s="14" t="s">
        <v>208</v>
      </c>
      <c r="E4" s="14" t="s">
        <v>213</v>
      </c>
      <c r="F4" s="14" t="s">
        <v>201</v>
      </c>
    </row>
    <row r="5" spans="2:6" ht="21.75" customHeight="1" x14ac:dyDescent="0.25">
      <c r="B5" s="7" t="s">
        <v>223</v>
      </c>
      <c r="C5" s="8">
        <v>432000</v>
      </c>
      <c r="D5" s="8">
        <v>250000</v>
      </c>
      <c r="E5" s="8">
        <v>1118000</v>
      </c>
      <c r="F5" s="8">
        <f>SUM(C5:E5)</f>
        <v>1800000</v>
      </c>
    </row>
    <row r="6" spans="2:6" ht="22.5" customHeight="1" x14ac:dyDescent="0.25">
      <c r="B6" s="7" t="s">
        <v>215</v>
      </c>
      <c r="C6" s="8">
        <v>432000</v>
      </c>
      <c r="D6" s="8">
        <v>250000</v>
      </c>
      <c r="E6" s="8">
        <v>1118000</v>
      </c>
      <c r="F6" s="8">
        <f t="shared" ref="F6:F11" si="0">SUM(C6:E6)</f>
        <v>1800000</v>
      </c>
    </row>
    <row r="7" spans="2:6" ht="23.25" customHeight="1" x14ac:dyDescent="0.25">
      <c r="B7" s="7" t="s">
        <v>216</v>
      </c>
      <c r="C7" s="8">
        <v>3462.69</v>
      </c>
      <c r="D7" s="9">
        <v>19528</v>
      </c>
      <c r="E7" s="8">
        <v>0</v>
      </c>
      <c r="F7" s="8">
        <f t="shared" si="0"/>
        <v>22990.69</v>
      </c>
    </row>
    <row r="8" spans="2:6" ht="16.5" customHeight="1" x14ac:dyDescent="0.25">
      <c r="B8" s="7" t="s">
        <v>217</v>
      </c>
      <c r="C8" s="8">
        <v>3462</v>
      </c>
      <c r="D8" s="8">
        <v>19528</v>
      </c>
      <c r="E8" s="8">
        <v>0</v>
      </c>
      <c r="F8" s="8">
        <f>SUM(C8:E8)</f>
        <v>22990</v>
      </c>
    </row>
    <row r="9" spans="2:6" ht="20.25" customHeight="1" x14ac:dyDescent="0.25">
      <c r="B9" s="7" t="s">
        <v>224</v>
      </c>
      <c r="C9" s="8">
        <v>0</v>
      </c>
      <c r="D9" s="8">
        <v>0</v>
      </c>
      <c r="E9" s="8">
        <v>0</v>
      </c>
      <c r="F9" s="8">
        <f t="shared" si="0"/>
        <v>0</v>
      </c>
    </row>
    <row r="10" spans="2:6" ht="24" customHeight="1" x14ac:dyDescent="0.25">
      <c r="B10" s="7" t="s">
        <v>225</v>
      </c>
      <c r="C10" s="8">
        <v>428537.31</v>
      </c>
      <c r="D10" s="8">
        <v>230472</v>
      </c>
      <c r="E10" s="8">
        <v>1118000</v>
      </c>
      <c r="F10" s="8">
        <f t="shared" si="0"/>
        <v>1777009.31</v>
      </c>
    </row>
    <row r="11" spans="2:6" ht="21" customHeight="1" x14ac:dyDescent="0.25">
      <c r="B11" s="7" t="s">
        <v>226</v>
      </c>
      <c r="C11" s="8">
        <v>121891.32</v>
      </c>
      <c r="D11" s="8">
        <v>8334.8799999999992</v>
      </c>
      <c r="E11" s="8">
        <v>28921.8</v>
      </c>
      <c r="F11" s="8">
        <f t="shared" si="0"/>
        <v>159148</v>
      </c>
    </row>
    <row r="12" spans="2:6" ht="26.25" customHeight="1" x14ac:dyDescent="0.25">
      <c r="B12" s="7" t="s">
        <v>227</v>
      </c>
      <c r="C12" s="13">
        <f>C7+C11</f>
        <v>125354.01000000001</v>
      </c>
      <c r="D12" s="8">
        <v>27862.880000000001</v>
      </c>
      <c r="E12" s="8">
        <f>E7+E11</f>
        <v>28921.8</v>
      </c>
      <c r="F12" s="8">
        <f>C12+D12+E12</f>
        <v>182138.69</v>
      </c>
    </row>
    <row r="13" spans="2:6" x14ac:dyDescent="0.25">
      <c r="B13" s="10"/>
      <c r="C13" s="11"/>
      <c r="D13" s="12"/>
      <c r="E13" s="11"/>
      <c r="F13" s="11"/>
    </row>
  </sheetData>
  <mergeCells count="1">
    <mergeCell ref="B3:C3"/>
  </mergeCells>
  <pageMargins left="0.511811024" right="0.511811024" top="0.78740157499999996" bottom="0.78740157499999996" header="0.31496062000000002" footer="0.31496062000000002"/>
  <pageSetup paperSize="9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9EC7224CD7C434B8DA1BB4287D8EDD6" ma:contentTypeVersion="17" ma:contentTypeDescription="Crie um novo documento." ma:contentTypeScope="" ma:versionID="679c90fb0d9992909e6bfbc02572e471">
  <xsd:schema xmlns:xsd="http://www.w3.org/2001/XMLSchema" xmlns:xs="http://www.w3.org/2001/XMLSchema" xmlns:p="http://schemas.microsoft.com/office/2006/metadata/properties" xmlns:ns2="306c6372-641f-4f58-b0c9-9b714448f138" xmlns:ns3="25522c09-5c4f-44a0-aaee-d1c4880bf795" targetNamespace="http://schemas.microsoft.com/office/2006/metadata/properties" ma:root="true" ma:fieldsID="37b80cf7f07d3d1bdaa4c9acf2f07a9e" ns2:_="" ns3:_="">
    <xsd:import namespace="306c6372-641f-4f58-b0c9-9b714448f138"/>
    <xsd:import namespace="25522c09-5c4f-44a0-aaee-d1c4880bf7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c6372-641f-4f58-b0c9-9b714448f1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Data" ma:index="11" nillable="true" ma:displayName="Data" ma:format="DateOnly" ma:internalName="Data">
      <xsd:simpleType>
        <xsd:restriction base="dms:DateTim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Marcações de imagem" ma:readOnly="false" ma:fieldId="{5cf76f15-5ced-4ddc-b409-7134ff3c332f}" ma:taxonomyMulti="true" ma:sspId="630bc7b3-38f3-4a89-a050-e06274c338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22c09-5c4f-44a0-aaee-d1c4880bf79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ef6b3cf-a250-47dd-83dc-b91795278fc1}" ma:internalName="TaxCatchAll" ma:showField="CatchAllData" ma:web="25522c09-5c4f-44a0-aaee-d1c4880bf7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 xmlns="306c6372-641f-4f58-b0c9-9b714448f138" xsi:nil="true"/>
    <TaxCatchAll xmlns="25522c09-5c4f-44a0-aaee-d1c4880bf795" xsi:nil="true"/>
    <lcf76f155ced4ddcb4097134ff3c332f xmlns="306c6372-641f-4f58-b0c9-9b714448f13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233BCB-E6C7-46EF-9A41-A0F86A4818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6c6372-641f-4f58-b0c9-9b714448f138"/>
    <ds:schemaRef ds:uri="25522c09-5c4f-44a0-aaee-d1c4880bf7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053B20-ED0F-41D1-B867-4D30BAA76FDB}">
  <ds:schemaRefs>
    <ds:schemaRef ds:uri="http://schemas.microsoft.com/office/2006/metadata/properties"/>
    <ds:schemaRef ds:uri="http://schemas.microsoft.com/office/infopath/2007/PartnerControls"/>
    <ds:schemaRef ds:uri="306c6372-641f-4f58-b0c9-9b714448f138"/>
    <ds:schemaRef ds:uri="25522c09-5c4f-44a0-aaee-d1c4880bf795"/>
  </ds:schemaRefs>
</ds:datastoreItem>
</file>

<file path=customXml/itemProps3.xml><?xml version="1.0" encoding="utf-8"?>
<ds:datastoreItem xmlns:ds="http://schemas.openxmlformats.org/officeDocument/2006/customXml" ds:itemID="{D2957D1C-9F19-488C-9F8B-286070D65D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KLIMT E DODF -ANEXO I</vt:lpstr>
      <vt:lpstr> RESUMO - ANEXO 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Mariana Franke Viegas</dc:creator>
  <cp:keywords/>
  <dc:description/>
  <cp:lastModifiedBy>Claudia Maria Macedo Holanda da Silva</cp:lastModifiedBy>
  <cp:revision/>
  <dcterms:created xsi:type="dcterms:W3CDTF">2020-01-14T19:59:01Z</dcterms:created>
  <dcterms:modified xsi:type="dcterms:W3CDTF">2025-07-17T15:51:03Z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0x01010049EC7224CD7C434B8DA1BB4287D8EDD6</vt:lpwstr>
  </property>
  <property fmtid="{D5CDD505-2E9C-101B-9397-08002B2CF9AE}" pid="3" name="MediaServiceImageTags">
    <vt:lpwstr/>
  </property>
</Properties>
</file>