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Holanda\Documents\"/>
    </mc:Choice>
  </mc:AlternateContent>
  <xr:revisionPtr revIDLastSave="0" documentId="13_ncr:1_{DBE3230B-85FC-404F-8BFB-F2B156D00D58}" xr6:coauthVersionLast="47" xr6:coauthVersionMax="47" xr10:uidLastSave="{00000000-0000-0000-0000-000000000000}"/>
  <bookViews>
    <workbookView xWindow="-24240" yWindow="1350" windowWidth="21465" windowHeight="11295" xr2:uid="{5CA7443E-1ECD-46B2-A2B9-D99780B83705}"/>
  </bookViews>
  <sheets>
    <sheet name="KLIMT E DODF -ANEXO I" sheetId="1" r:id="rId1"/>
    <sheet name=" RESUMO - ANEXO I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  <c r="D77" i="1"/>
  <c r="C77" i="1"/>
  <c r="O47" i="1"/>
  <c r="M61" i="1"/>
  <c r="M60" i="1"/>
  <c r="M59" i="1"/>
  <c r="M58" i="1"/>
  <c r="M57" i="1"/>
  <c r="M56" i="1"/>
  <c r="M55" i="1"/>
  <c r="M54" i="1"/>
  <c r="M53" i="1"/>
  <c r="M50" i="1"/>
  <c r="M52" i="1"/>
  <c r="M51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O22" i="1"/>
  <c r="O21" i="1"/>
  <c r="O20" i="1"/>
  <c r="O19" i="1"/>
  <c r="O17" i="1"/>
  <c r="O16" i="1"/>
  <c r="O15" i="1"/>
  <c r="M8" i="1"/>
  <c r="M7" i="1"/>
  <c r="M6" i="1"/>
  <c r="N62" i="1"/>
  <c r="K62" i="1"/>
  <c r="L62" i="1"/>
  <c r="J62" i="1"/>
  <c r="E78" i="1"/>
  <c r="D78" i="1"/>
  <c r="C78" i="1"/>
  <c r="O61" i="1"/>
  <c r="O60" i="1"/>
  <c r="O59" i="1"/>
  <c r="O58" i="1"/>
  <c r="O57" i="1"/>
  <c r="O56" i="1"/>
  <c r="O55" i="1"/>
  <c r="O54" i="1"/>
  <c r="O53" i="1"/>
  <c r="O52" i="1"/>
  <c r="O51" i="1"/>
  <c r="O49" i="1"/>
  <c r="O48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E79" i="1"/>
  <c r="D79" i="1"/>
  <c r="C79" i="1"/>
  <c r="O50" i="1"/>
  <c r="O28" i="1"/>
  <c r="O27" i="1"/>
  <c r="O26" i="1"/>
  <c r="O25" i="1"/>
  <c r="O24" i="1"/>
  <c r="O23" i="1"/>
  <c r="O18" i="1"/>
  <c r="O14" i="1"/>
  <c r="O13" i="1"/>
  <c r="O12" i="1"/>
  <c r="O11" i="1"/>
  <c r="O10" i="1"/>
  <c r="O9" i="1"/>
  <c r="O8" i="1"/>
  <c r="O7" i="1"/>
  <c r="O6" i="1"/>
  <c r="O62" i="1" s="1"/>
  <c r="M62" i="1" l="1"/>
  <c r="E81" i="1"/>
  <c r="D81" i="1"/>
  <c r="C81" i="1"/>
  <c r="F81" i="1" l="1"/>
  <c r="F80" i="1"/>
  <c r="F79" i="1"/>
  <c r="F78" i="1"/>
  <c r="F77" i="1"/>
  <c r="F76" i="1"/>
  <c r="F75" i="1"/>
  <c r="F74" i="1"/>
  <c r="F12" i="3"/>
  <c r="E12" i="3"/>
  <c r="C12" i="3"/>
  <c r="F11" i="3"/>
  <c r="F10" i="3"/>
  <c r="F9" i="3"/>
  <c r="F8" i="3"/>
  <c r="F7" i="3"/>
  <c r="F6" i="3"/>
  <c r="F5" i="3"/>
  <c r="J69" i="1"/>
  <c r="O68" i="1"/>
  <c r="O67" i="1"/>
  <c r="O66" i="1"/>
  <c r="O69" i="1" l="1"/>
</calcChain>
</file>

<file path=xl/sharedStrings.xml><?xml version="1.0" encoding="utf-8"?>
<sst xmlns="http://schemas.openxmlformats.org/spreadsheetml/2006/main" count="378" uniqueCount="198">
  <si>
    <t>ANEXO I</t>
  </si>
  <si>
    <t xml:space="preserve">1.1 Contrato nº:  32/2019
</t>
  </si>
  <si>
    <t>1.1.1 AGÊNCIA: KLIMT AGÊNCIA DE PUBLICIDADE, CNPJ: 10.365.754/0001-07</t>
  </si>
  <si>
    <t>FINALIDADE</t>
  </si>
  <si>
    <t>CAMPANHA</t>
  </si>
  <si>
    <t>VEÍCULO</t>
  </si>
  <si>
    <t>PERÍODO DE EXECUÇÃO</t>
  </si>
  <si>
    <t>SUBCONTRATADO</t>
  </si>
  <si>
    <t>CNPJ</t>
  </si>
  <si>
    <t>NF AGÊNCIA</t>
  </si>
  <si>
    <t>DT EMISSÃO</t>
  </si>
  <si>
    <t>VEICULAÇÃO (a)</t>
  </si>
  <si>
    <t>PRODUÇÃO (b)</t>
  </si>
  <si>
    <t>GLOSAS (c)</t>
  </si>
  <si>
    <t>TRIBUTOS (d)</t>
  </si>
  <si>
    <t>COMISSÃO DA AGÊNCIA (e)</t>
  </si>
  <si>
    <t>TOTAL DESPESA (a+b-c+e)</t>
  </si>
  <si>
    <t>Institucional</t>
  </si>
  <si>
    <t>Aviso de Audiência Pública e Abertura de Licitação</t>
  </si>
  <si>
    <t>JORNAL DE BRASILIA COMUNICACAO LTDA -</t>
  </si>
  <si>
    <t xml:space="preserve">13.846.483/0001-91 </t>
  </si>
  <si>
    <t>Aviso de Audiência Pública nº 003/2024</t>
  </si>
  <si>
    <t>Aviso de Audiência Pública nº 004/2024</t>
  </si>
  <si>
    <t>Utilidade Pública</t>
  </si>
  <si>
    <t>Estiagem</t>
  </si>
  <si>
    <t>Produção de vídeos animacao 2D para TV</t>
  </si>
  <si>
    <t>AB2 COMUNICACAO E MARKETING LTDA ME</t>
  </si>
  <si>
    <t>10.766.887/0001-87</t>
  </si>
  <si>
    <t>Produção de vídeo vertical</t>
  </si>
  <si>
    <t>Brigadeiro Bentes Produções LTDA</t>
  </si>
  <si>
    <t>22.493.404/0001-05</t>
  </si>
  <si>
    <t>Produção de vídeo de animação cartelada</t>
  </si>
  <si>
    <t>55.437.160 SINTIA KAROLINE BATISTA ALVES</t>
  </si>
  <si>
    <t>55.437.160/0001-94</t>
  </si>
  <si>
    <t>IMPULSIONAMENTO - Conforme PI: 283</t>
  </si>
  <si>
    <t>18/06/2024 a 26/06/2024</t>
  </si>
  <si>
    <t>WAYS DIGITAL AGENCIA DE MARKETING LTDA</t>
  </si>
  <si>
    <t>47.436.058/0001-46</t>
  </si>
  <si>
    <t>Veiculação Blog Agenda capital - Conforme PI: 295</t>
  </si>
  <si>
    <t>12/06/2024 a 15/06/2024</t>
  </si>
  <si>
    <t>TEAR TECNOLOGIA DA INFORMAÇÃO LTDA -</t>
  </si>
  <si>
    <t>19.069.992/0001-31</t>
  </si>
  <si>
    <t>VEICULACAO MIDIA PROGRAMATICA</t>
  </si>
  <si>
    <t>Rogerio Cirino Producoes Artisticas Ltda -</t>
  </si>
  <si>
    <t>24.397.463/0001-05</t>
  </si>
  <si>
    <t>Veiculação Blog Conectado ao poder - Conforme PI: 288</t>
  </si>
  <si>
    <t>OPINIAO COMUNICACAO - EMPRESA DE SERVICOS LTDA</t>
  </si>
  <si>
    <t>18.409.455/0001-20</t>
  </si>
  <si>
    <t>Veiculação Blog Dia da noticia - Conforme PI: 297</t>
  </si>
  <si>
    <t>DIA DA NOTICIA COMUNICACAO ON LINE LTDA</t>
  </si>
  <si>
    <t>06.189.522/0001-60</t>
  </si>
  <si>
    <t>Veiculação Blog do Ataíde - Conforme PI: 287</t>
  </si>
  <si>
    <t>A. A. DOS SANTOS PUBLICIDADE MARKETING E NOTICIAS ME</t>
  </si>
  <si>
    <t>15.434.320/0001-27</t>
  </si>
  <si>
    <t>Veiculação Blog do Callado - Conforme PI: 286</t>
  </si>
  <si>
    <t>AGENCIA PALEAR - COMUNICACAO, PUBLICIDADE E CONSULTORIA LTDA</t>
  </si>
  <si>
    <t>08.406.032/0001-01</t>
  </si>
  <si>
    <t>Veiculação Blog do Emicles - Conforme PI: 292</t>
  </si>
  <si>
    <t>SOBRADINHO NOTICIAS LTDA</t>
  </si>
  <si>
    <t>37.104.866/0001-52</t>
  </si>
  <si>
    <t>Veiculação Blog Egnews - Conforme PI: 291</t>
  </si>
  <si>
    <t>EG NEWS LTDA</t>
  </si>
  <si>
    <t>04.058.259/0001-44</t>
  </si>
  <si>
    <t>Veiculação Blog Jornal do guará - Conforme PI: 299</t>
  </si>
  <si>
    <t>JORNAL DO GUARA EDITORA E COMUNICACAO LTDA</t>
  </si>
  <si>
    <t>04.554.113/0001-90</t>
  </si>
  <si>
    <t>Veiculação Blog Mirante Social - Conforme PI: 300</t>
  </si>
  <si>
    <t>GENIUS COMUNICACAO E MARKETING LTDA</t>
  </si>
  <si>
    <t>39.354.609/0001-02</t>
  </si>
  <si>
    <t>VEICULACAO BLOG NOTÍCIAS DIRETO DO PODER</t>
  </si>
  <si>
    <t>JOSELITA GOMES NOGUEIRA 9687308656</t>
  </si>
  <si>
    <t>32.174.979/0001-00</t>
  </si>
  <si>
    <t>VEICULACAO BLOG OLHOS NEWS</t>
  </si>
  <si>
    <t>Olho news serviços de comunicacao ltda</t>
  </si>
  <si>
    <t>33.059.226/0001-17</t>
  </si>
  <si>
    <t>VEICULACAO BLOG PAINEL DA CIDADANIA</t>
  </si>
  <si>
    <t>PLANETA DIARIO PORTAL DE NOTICIAS LTDA</t>
  </si>
  <si>
    <t>40.750.576/0001-90</t>
  </si>
  <si>
    <t>VEICULACAO BLOG POR BRASILIA</t>
  </si>
  <si>
    <t>INOVAR SERVICOS DE INFORMACAO LTDA</t>
  </si>
  <si>
    <t>09.178.647/0001-82</t>
  </si>
  <si>
    <t>Veiculação Merchandising TV Record DF - Conforme PI: 305</t>
  </si>
  <si>
    <t>13/06/2024 a 15/06/2024</t>
  </si>
  <si>
    <t>RADIO E TELEVISÃO CAPITAL LTDA</t>
  </si>
  <si>
    <t>02.579.308/0001-69</t>
  </si>
  <si>
    <t>Veiculação Mídia DOOH rodoviária - C</t>
  </si>
  <si>
    <t>10/06/2024 a 21/06/2024</t>
  </si>
  <si>
    <t>"CERRADO MIX COMUNICACAO E PRODUCAO LTDA</t>
  </si>
  <si>
    <t>02.311.600/0001-04</t>
  </si>
  <si>
    <t>CRIAÇÃO - DIVERSOS</t>
  </si>
  <si>
    <t>KLIMT - AGENCIA DE PUBLICIDADE LTDA</t>
  </si>
  <si>
    <t>10.365.754/0001-07</t>
  </si>
  <si>
    <t>Spot 60s</t>
  </si>
  <si>
    <t>Vídeo de 60s</t>
  </si>
  <si>
    <t>VT 30S</t>
  </si>
  <si>
    <t>Papel Outdoor</t>
  </si>
  <si>
    <t>RG MIDIA OUTDOOR E GRAFICA LTDA</t>
  </si>
  <si>
    <t>48.929.655/0001-75</t>
  </si>
  <si>
    <t>VT Cartelado</t>
  </si>
  <si>
    <t>55.408.614 SAYMON WILLIAMS RODRIGUES SIMOES FARIAS</t>
  </si>
  <si>
    <t>55.408.614/0001-07</t>
  </si>
  <si>
    <t>Víedos Verticais</t>
  </si>
  <si>
    <t>VEICULACAO BLOG BOMBA BOMBA</t>
  </si>
  <si>
    <t>"ATIVAMENTE ACOMPANHAMENTO E SERVICOS LTDA</t>
  </si>
  <si>
    <t>12.394.932/0001-45</t>
  </si>
  <si>
    <t>VEICULACAO BLOG SAÚDE E DIREITOS SOCIAIS</t>
  </si>
  <si>
    <t>PROVEDOR DE NOTICIAS SAUDE E DIREITO SOCIAIS LTDA</t>
  </si>
  <si>
    <t>22.969.066/0001-27</t>
  </si>
  <si>
    <t>Veiculação Blog do Foco Nacional</t>
  </si>
  <si>
    <t>INOVA GESTAO - CONSULTORIA E COMUNICACAO LTDA - GRUPO INOVA</t>
  </si>
  <si>
    <t>13.913.044/0001-54</t>
  </si>
  <si>
    <t>Veiculação Blog Espaço da Mulher</t>
  </si>
  <si>
    <t>A &amp; A NEVES COMUNICACAO EDITORA E GRAFICA LTDA</t>
  </si>
  <si>
    <t>37.978.269/0001-57</t>
  </si>
  <si>
    <t>VEICULACAO BLOG DA ZULEIKA</t>
  </si>
  <si>
    <t>ZULEIKA APARECIDA LOPES ME</t>
  </si>
  <si>
    <t>06.957.271/0001-16</t>
  </si>
  <si>
    <t>Veiculação Blog Olhos de Aguia noticias</t>
  </si>
  <si>
    <t>SR GESTAO EMPRESARIAL E PUBLICIDADE LTDA</t>
  </si>
  <si>
    <t>38.079.810/0001-58</t>
  </si>
  <si>
    <t>Veiculação Blog Brazil mulher</t>
  </si>
  <si>
    <t>BRAZIL MULHER PORTAL DE NOTICIAS, CURSOS E CAPACITACAO PROFISSIONAL LTDA</t>
  </si>
  <si>
    <t>07.318.755/0001-88</t>
  </si>
  <si>
    <t>Veiculação Blog Lei &amp; Política</t>
  </si>
  <si>
    <t>C M CHAVES INFORMATICA</t>
  </si>
  <si>
    <t>01.996.483/0001-99</t>
  </si>
  <si>
    <t>Veiculação Blog Atualidade Política</t>
  </si>
  <si>
    <t>ATUALIDADE POLITICA COMUNICACAO E MARKETING DIGITAL LTDA</t>
  </si>
  <si>
    <t>30.621.782/0001-47</t>
  </si>
  <si>
    <t>Veiculação Blog Notícias Direto do Poder</t>
  </si>
  <si>
    <t>JOSELITA GOMES NOGUEIRA 96873086568</t>
  </si>
  <si>
    <t>Veiculação Blog Doa a quem doer</t>
  </si>
  <si>
    <t>BSB NEWS COMUNICACAO DIGITAL LTDA</t>
  </si>
  <si>
    <t>12.486.873/0001-35</t>
  </si>
  <si>
    <t>VEICULACAO BLOG VISITE BRASILIA</t>
  </si>
  <si>
    <t>Luiz eduardo passeado barbosa serviços administrativos me</t>
  </si>
  <si>
    <t>07.109.194/0001-07</t>
  </si>
  <si>
    <t>VEICULACAO BLOG DIA DA NOTÍCIA</t>
  </si>
  <si>
    <t>DIA DA NOTÍCIA COMUNICAÇÃO ONLINE LTDA</t>
  </si>
  <si>
    <t>VEICULACAO BLOG A POLITICA E O PODER</t>
  </si>
  <si>
    <t>GB EDICAO DE JORNAL DIARIO EIRELI</t>
  </si>
  <si>
    <t>26.992.003/0001-42</t>
  </si>
  <si>
    <t>VEICULACAO BLOG POLÍTICA DISTRITAL</t>
  </si>
  <si>
    <t>VW PRODUCAO AUDIOVISUAL E COMUNICACAO EMPRESARIAL LTDA</t>
  </si>
  <si>
    <t>12.135.077/0001-58</t>
  </si>
  <si>
    <t>ABRIL</t>
  </si>
  <si>
    <t>Veiculação Portal Folha do Meio Ambiente</t>
  </si>
  <si>
    <t>FOLHA DO MEIO AMBIENTE CULTURA VIVA EDITORA LTDA</t>
  </si>
  <si>
    <t>33.515.438/0001-61</t>
  </si>
  <si>
    <t>Veiculação Impulsionamento</t>
  </si>
  <si>
    <t>F5 Consultoria em tecnologia LTDA</t>
  </si>
  <si>
    <t>32.478.995/0001-45</t>
  </si>
  <si>
    <t>Veiculação Rádio Metrópoles - Os cabeças da Notícia</t>
  </si>
  <si>
    <t>Veiculação Rádio Sucesso -</t>
  </si>
  <si>
    <t>RC RADIODIFUSAO LTDA</t>
  </si>
  <si>
    <t>44.586.247/0001-07</t>
  </si>
  <si>
    <t>Veiculação Rádio Atividade FM</t>
  </si>
  <si>
    <t>MAC PROPAGANDA DF LTDA</t>
  </si>
  <si>
    <t>28.492.944/0001-42</t>
  </si>
  <si>
    <t>Veiculação TV Record</t>
  </si>
  <si>
    <t>RADIO E TELEVISAO CAPITAL LTDA</t>
  </si>
  <si>
    <t>Veiculação telas lotericas</t>
  </si>
  <si>
    <t>32.780.682 FELIPE ALVES DE SIQUEIRA E SILVA</t>
  </si>
  <si>
    <t>32.780.682/0001-99</t>
  </si>
  <si>
    <t>Veiculação outdoor</t>
  </si>
  <si>
    <t>ANUNCIART VEICULOS DE PUBLICIDADE LTDA</t>
  </si>
  <si>
    <t>02.683.230/0001-28</t>
  </si>
  <si>
    <t>REIS DOS PAINES LTDA</t>
  </si>
  <si>
    <t>26.191.796/0001-09</t>
  </si>
  <si>
    <t>Honorários Internos</t>
  </si>
  <si>
    <t>TOTAL</t>
  </si>
  <si>
    <t>1.2 Contrato nº 57/2015</t>
  </si>
  <si>
    <t xml:space="preserve"> </t>
  </si>
  <si>
    <t>1.2.1 CONTRATADO: Secretaria de Estado da Casa Civil-  CNPJ 09.639.459/0001-05</t>
  </si>
  <si>
    <t>Publicidade legal</t>
  </si>
  <si>
    <t>DODF</t>
  </si>
  <si>
    <t>NÃO</t>
  </si>
  <si>
    <t>Publicidade Legal</t>
  </si>
  <si>
    <t>ANEXO II</t>
  </si>
  <si>
    <t>RESUMO GERAL</t>
  </si>
  <si>
    <t>Publicidade Institucional</t>
  </si>
  <si>
    <t>Publicidade de Utilidade Pública</t>
  </si>
  <si>
    <t>1. Dotação Orçamentária  Autorizada (2024)</t>
  </si>
  <si>
    <t>2. Empenhado (até o trimeste)</t>
  </si>
  <si>
    <t>3a. Liquidado (no trimestre)</t>
  </si>
  <si>
    <t>3b. Liquidado acumulado</t>
  </si>
  <si>
    <t>4. Crédito Orç. Disponível (2024)</t>
  </si>
  <si>
    <t>5. Saldo de empenho 2024</t>
  </si>
  <si>
    <t>6. Restos à Pagar RP(2023) acumulado</t>
  </si>
  <si>
    <t>7. Total liquidado 2024 com RP (2023)</t>
  </si>
  <si>
    <t>2. RESUMO GERAL - SALDOS E DESPESAS COM PUBLICIDADE LIQUIDADAS no 1º TRIMESTRE DE 2021</t>
  </si>
  <si>
    <t>1. Dotação Orçamentária (2020)</t>
  </si>
  <si>
    <t>4. Crédito Orç. Disponível (2020)</t>
  </si>
  <si>
    <t>5. Saldo de empenho 2020</t>
  </si>
  <si>
    <t>6. Restos à Pagar RP(2019) acumulado</t>
  </si>
  <si>
    <t>7. Total liquidado 2020 com RP (2019)</t>
  </si>
  <si>
    <t>2. RESUMO GERAL - SALDOS E DESPESAS COM PUBLICIDADE LIQUIDADAS no 3º TRIMESTRE DE 2024</t>
  </si>
  <si>
    <t>1. DEMONSTRATIVO DE GASTOS COM PUBLICIDADE E PROPAGANDA - TERCEIRO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</si>
</sst>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</font>
    <font>
      <sz val="8"/>
      <name val="Calibri"/>
      <family val="2"/>
      <scheme val="minor"/>
    </font>
    <font>
      <sz val="8"/>
      <color rgb="FF000000"/>
      <name val="Calibri"/>
    </font>
    <font>
      <sz val="11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43" fontId="0" fillId="0" borderId="0" xfId="0" applyNumberFormat="1"/>
    <xf numFmtId="4" fontId="0" fillId="0" borderId="0" xfId="0" applyNumberFormat="1"/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justify" vertical="center" wrapText="1"/>
    </xf>
    <xf numFmtId="43" fontId="4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43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justify" wrapText="1"/>
    </xf>
    <xf numFmtId="0" fontId="4" fillId="0" borderId="2" xfId="0" applyFont="1" applyBorder="1" applyAlignment="1">
      <alignment horizontal="justify" wrapText="1"/>
    </xf>
    <xf numFmtId="0" fontId="6" fillId="0" borderId="2" xfId="0" applyFont="1" applyBorder="1" applyAlignment="1">
      <alignment horizontal="justify" wrapText="1"/>
    </xf>
    <xf numFmtId="4" fontId="6" fillId="0" borderId="2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17" fontId="4" fillId="0" borderId="1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3" fillId="0" borderId="0" xfId="0" applyFont="1"/>
    <xf numFmtId="0" fontId="12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3" fontId="4" fillId="2" borderId="2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4" fillId="2" borderId="6" xfId="0" applyNumberFormat="1" applyFont="1" applyFill="1" applyBorder="1" applyAlignment="1">
      <alignment horizontal="center" vertical="center" wrapText="1"/>
    </xf>
    <xf numFmtId="17" fontId="0" fillId="0" borderId="0" xfId="0" applyNumberFormat="1"/>
    <xf numFmtId="14" fontId="8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16" fontId="12" fillId="0" borderId="1" xfId="0" applyNumberFormat="1" applyFont="1" applyBorder="1" applyAlignment="1">
      <alignment horizontal="center" vertical="center" wrapText="1"/>
    </xf>
    <xf numFmtId="43" fontId="4" fillId="2" borderId="5" xfId="0" applyNumberFormat="1" applyFont="1" applyFill="1" applyBorder="1" applyAlignment="1">
      <alignment horizontal="center" vertical="center" wrapText="1"/>
    </xf>
    <xf numFmtId="43" fontId="4" fillId="2" borderId="5" xfId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43" fontId="4" fillId="2" borderId="6" xfId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43" fontId="4" fillId="2" borderId="13" xfId="0" applyNumberFormat="1" applyFont="1" applyFill="1" applyBorder="1" applyAlignment="1">
      <alignment horizontal="center" vertical="center" wrapText="1"/>
    </xf>
    <xf numFmtId="43" fontId="4" fillId="2" borderId="12" xfId="1" applyFont="1" applyFill="1" applyBorder="1" applyAlignment="1">
      <alignment horizontal="center" vertical="center"/>
    </xf>
    <xf numFmtId="43" fontId="4" fillId="2" borderId="11" xfId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43" fontId="8" fillId="3" borderId="12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43" fontId="8" fillId="3" borderId="12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14" fontId="8" fillId="2" borderId="19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/>
    </xf>
    <xf numFmtId="43" fontId="8" fillId="3" borderId="14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8" fillId="3" borderId="12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14" fontId="8" fillId="3" borderId="14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4" fontId="8" fillId="3" borderId="13" xfId="0" applyNumberFormat="1" applyFont="1" applyFill="1" applyBorder="1" applyAlignment="1">
      <alignment horizontal="center" vertical="center"/>
    </xf>
    <xf numFmtId="43" fontId="8" fillId="3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14" fontId="8" fillId="3" borderId="13" xfId="0" applyNumberFormat="1" applyFont="1" applyFill="1" applyBorder="1" applyAlignment="1">
      <alignment horizontal="center" vertical="center" wrapText="1"/>
    </xf>
    <xf numFmtId="43" fontId="8" fillId="2" borderId="13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3" fontId="7" fillId="0" borderId="2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14" fontId="12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2C5C-E20C-4CE7-9239-D2A92CE47D25}">
  <sheetPr>
    <pageSetUpPr fitToPage="1"/>
  </sheetPr>
  <dimension ref="B1:V81"/>
  <sheetViews>
    <sheetView tabSelected="1" topLeftCell="A69" workbookViewId="0">
      <selection activeCell="B2" sqref="B2:C2"/>
    </sheetView>
  </sheetViews>
  <sheetFormatPr defaultRowHeight="15" x14ac:dyDescent="0.25"/>
  <cols>
    <col min="1" max="1" width="4.85546875" customWidth="1"/>
    <col min="2" max="2" width="14.42578125" style="3" customWidth="1"/>
    <col min="3" max="3" width="14.28515625" style="3" customWidth="1"/>
    <col min="4" max="4" width="14.42578125" customWidth="1"/>
    <col min="5" max="5" width="15.85546875" style="3" customWidth="1"/>
    <col min="6" max="6" width="22" style="3" customWidth="1"/>
    <col min="7" max="7" width="15.28515625" style="3" customWidth="1"/>
    <col min="8" max="8" width="8.28515625" style="3" customWidth="1"/>
    <col min="9" max="9" width="9.42578125" style="3" customWidth="1"/>
    <col min="10" max="10" width="12.42578125" style="3" customWidth="1"/>
    <col min="11" max="11" width="11.42578125" style="3" customWidth="1"/>
    <col min="12" max="12" width="9" style="3" customWidth="1"/>
    <col min="13" max="13" width="10.42578125" customWidth="1"/>
    <col min="14" max="14" width="11.5703125" style="3" customWidth="1"/>
    <col min="15" max="15" width="12.28515625" style="3" customWidth="1"/>
    <col min="16" max="16" width="17.85546875" customWidth="1"/>
    <col min="17" max="17" width="21.5703125" customWidth="1"/>
    <col min="18" max="18" width="11.140625" customWidth="1"/>
    <col min="19" max="20" width="10.85546875" bestFit="1" customWidth="1"/>
    <col min="21" max="21" width="12.28515625" customWidth="1"/>
  </cols>
  <sheetData>
    <row r="1" spans="2:16" x14ac:dyDescent="0.25">
      <c r="B1" s="2" t="s">
        <v>0</v>
      </c>
    </row>
    <row r="2" spans="2:16" ht="60" customHeight="1" x14ac:dyDescent="0.25">
      <c r="B2" s="97" t="s">
        <v>197</v>
      </c>
      <c r="C2" s="97"/>
    </row>
    <row r="3" spans="2:16" ht="26.25" customHeight="1" x14ac:dyDescent="0.25">
      <c r="B3" s="4" t="s">
        <v>1</v>
      </c>
    </row>
    <row r="4" spans="2:16" ht="44.25" customHeight="1" x14ac:dyDescent="0.25">
      <c r="B4" s="98" t="s">
        <v>2</v>
      </c>
      <c r="C4" s="98"/>
    </row>
    <row r="5" spans="2:16" ht="36" customHeight="1" x14ac:dyDescent="0.25">
      <c r="B5" s="27" t="s">
        <v>3</v>
      </c>
      <c r="C5" s="27" t="s">
        <v>4</v>
      </c>
      <c r="D5" s="27" t="s">
        <v>5</v>
      </c>
      <c r="E5" s="27" t="s">
        <v>6</v>
      </c>
      <c r="F5" s="27" t="s">
        <v>7</v>
      </c>
      <c r="G5" s="27" t="s">
        <v>8</v>
      </c>
      <c r="H5" s="27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24" t="s">
        <v>15</v>
      </c>
      <c r="O5" s="24" t="s">
        <v>16</v>
      </c>
    </row>
    <row r="6" spans="2:16" ht="36" customHeight="1" x14ac:dyDescent="0.25">
      <c r="B6" s="54" t="s">
        <v>17</v>
      </c>
      <c r="C6" s="54" t="s">
        <v>17</v>
      </c>
      <c r="D6" s="14" t="s">
        <v>18</v>
      </c>
      <c r="E6" s="35">
        <v>45467</v>
      </c>
      <c r="F6" s="55" t="s">
        <v>19</v>
      </c>
      <c r="G6" s="56" t="s">
        <v>20</v>
      </c>
      <c r="H6" s="36">
        <v>829</v>
      </c>
      <c r="I6" s="57">
        <v>45475</v>
      </c>
      <c r="J6" s="58">
        <v>1458.69</v>
      </c>
      <c r="K6" s="58">
        <v>0</v>
      </c>
      <c r="L6" s="31">
        <v>0</v>
      </c>
      <c r="M6" s="59">
        <f>13.68+13.13+70.02</f>
        <v>96.83</v>
      </c>
      <c r="N6" s="60">
        <v>273.5</v>
      </c>
      <c r="O6" s="26">
        <f>J6+K6+N6</f>
        <v>1732.19</v>
      </c>
      <c r="P6" s="5"/>
    </row>
    <row r="7" spans="2:16" ht="36" customHeight="1" x14ac:dyDescent="0.25">
      <c r="B7" s="54" t="s">
        <v>17</v>
      </c>
      <c r="C7" s="54" t="s">
        <v>17</v>
      </c>
      <c r="D7" s="14" t="s">
        <v>21</v>
      </c>
      <c r="E7" s="35">
        <v>45467</v>
      </c>
      <c r="F7" s="55" t="s">
        <v>19</v>
      </c>
      <c r="G7" s="56" t="s">
        <v>20</v>
      </c>
      <c r="H7" s="36">
        <v>830</v>
      </c>
      <c r="I7" s="57">
        <v>45475</v>
      </c>
      <c r="J7" s="58">
        <v>1458.69</v>
      </c>
      <c r="K7" s="58">
        <v>0</v>
      </c>
      <c r="L7" s="31">
        <v>0</v>
      </c>
      <c r="M7" s="59">
        <f>13.68+13.13+70.02</f>
        <v>96.83</v>
      </c>
      <c r="N7" s="60">
        <v>273.5</v>
      </c>
      <c r="O7" s="26">
        <f t="shared" ref="O7:O51" si="0">J7+K7+N7</f>
        <v>1732.19</v>
      </c>
    </row>
    <row r="8" spans="2:16" ht="36" customHeight="1" x14ac:dyDescent="0.25">
      <c r="B8" s="54" t="s">
        <v>17</v>
      </c>
      <c r="C8" s="54" t="s">
        <v>17</v>
      </c>
      <c r="D8" s="14" t="s">
        <v>22</v>
      </c>
      <c r="E8" s="35">
        <v>45461</v>
      </c>
      <c r="F8" s="55" t="s">
        <v>19</v>
      </c>
      <c r="G8" s="56" t="s">
        <v>20</v>
      </c>
      <c r="H8" s="36">
        <v>831</v>
      </c>
      <c r="I8" s="57">
        <v>45475</v>
      </c>
      <c r="J8" s="58">
        <v>1458.69</v>
      </c>
      <c r="K8" s="58">
        <v>0</v>
      </c>
      <c r="L8" s="31">
        <v>0</v>
      </c>
      <c r="M8" s="59">
        <f>13.68+13.13+70.02</f>
        <v>96.83</v>
      </c>
      <c r="N8" s="60">
        <v>273.5</v>
      </c>
      <c r="O8" s="26">
        <f t="shared" si="0"/>
        <v>1732.19</v>
      </c>
    </row>
    <row r="9" spans="2:16" ht="36" customHeight="1" x14ac:dyDescent="0.25">
      <c r="B9" s="37" t="s">
        <v>23</v>
      </c>
      <c r="C9" s="61" t="s">
        <v>24</v>
      </c>
      <c r="D9" s="14" t="s">
        <v>25</v>
      </c>
      <c r="E9" s="35">
        <v>45475</v>
      </c>
      <c r="F9" s="14" t="s">
        <v>26</v>
      </c>
      <c r="G9" s="56" t="s">
        <v>27</v>
      </c>
      <c r="H9" s="37">
        <v>832</v>
      </c>
      <c r="I9" s="57">
        <v>45475</v>
      </c>
      <c r="J9" s="62">
        <v>0</v>
      </c>
      <c r="K9" s="62">
        <v>89400</v>
      </c>
      <c r="L9" s="31">
        <v>0</v>
      </c>
      <c r="M9" s="62">
        <f>178.8+171.65+4470</f>
        <v>4820.45</v>
      </c>
      <c r="N9" s="62">
        <v>3576</v>
      </c>
      <c r="O9" s="26">
        <f t="shared" si="0"/>
        <v>92976</v>
      </c>
    </row>
    <row r="10" spans="2:16" ht="45.75" customHeight="1" x14ac:dyDescent="0.25">
      <c r="B10" s="37" t="s">
        <v>23</v>
      </c>
      <c r="C10" s="61" t="s">
        <v>24</v>
      </c>
      <c r="D10" s="14" t="s">
        <v>28</v>
      </c>
      <c r="E10" s="35">
        <v>45475</v>
      </c>
      <c r="F10" s="14" t="s">
        <v>29</v>
      </c>
      <c r="G10" s="56" t="s">
        <v>30</v>
      </c>
      <c r="H10" s="36">
        <v>833</v>
      </c>
      <c r="I10" s="57">
        <v>45475</v>
      </c>
      <c r="J10" s="62">
        <v>0</v>
      </c>
      <c r="K10" s="60">
        <v>13250</v>
      </c>
      <c r="L10" s="31">
        <v>0</v>
      </c>
      <c r="M10" s="38">
        <f>26.5+25.44+662.5</f>
        <v>714.44</v>
      </c>
      <c r="N10" s="26">
        <v>530</v>
      </c>
      <c r="O10" s="26">
        <f t="shared" si="0"/>
        <v>13780</v>
      </c>
    </row>
    <row r="11" spans="2:16" ht="36.75" customHeight="1" x14ac:dyDescent="0.25">
      <c r="B11" s="37" t="s">
        <v>23</v>
      </c>
      <c r="C11" s="61" t="s">
        <v>24</v>
      </c>
      <c r="D11" s="14" t="s">
        <v>31</v>
      </c>
      <c r="E11" s="35">
        <v>45475</v>
      </c>
      <c r="F11" s="14" t="s">
        <v>32</v>
      </c>
      <c r="G11" s="56" t="s">
        <v>33</v>
      </c>
      <c r="H11" s="39">
        <v>834</v>
      </c>
      <c r="I11" s="57">
        <v>45475</v>
      </c>
      <c r="J11" s="60">
        <v>0</v>
      </c>
      <c r="K11" s="60">
        <v>12300</v>
      </c>
      <c r="L11" s="31">
        <v>0</v>
      </c>
      <c r="M11" s="59">
        <f>24.6+23.62</f>
        <v>48.22</v>
      </c>
      <c r="N11" s="60">
        <v>492</v>
      </c>
      <c r="O11" s="26">
        <f t="shared" si="0"/>
        <v>12792</v>
      </c>
      <c r="P11" s="5"/>
    </row>
    <row r="12" spans="2:16" ht="33" customHeight="1" x14ac:dyDescent="0.25">
      <c r="B12" s="37" t="s">
        <v>23</v>
      </c>
      <c r="C12" s="61" t="s">
        <v>24</v>
      </c>
      <c r="D12" s="14" t="s">
        <v>34</v>
      </c>
      <c r="E12" s="53" t="s">
        <v>35</v>
      </c>
      <c r="F12" s="56" t="s">
        <v>36</v>
      </c>
      <c r="G12" s="40" t="s">
        <v>37</v>
      </c>
      <c r="H12" s="39">
        <v>835</v>
      </c>
      <c r="I12" s="57">
        <v>45475</v>
      </c>
      <c r="J12" s="60">
        <v>58320</v>
      </c>
      <c r="K12" s="60"/>
      <c r="L12" s="31">
        <v>0</v>
      </c>
      <c r="M12" s="62">
        <f>546.75+524.88+2916</f>
        <v>3987.63</v>
      </c>
      <c r="N12" s="60">
        <v>10935</v>
      </c>
      <c r="O12" s="26">
        <f t="shared" si="0"/>
        <v>69255</v>
      </c>
      <c r="P12" s="5"/>
    </row>
    <row r="13" spans="2:16" ht="33" customHeight="1" x14ac:dyDescent="0.25">
      <c r="B13" s="37" t="s">
        <v>23</v>
      </c>
      <c r="C13" s="61" t="s">
        <v>24</v>
      </c>
      <c r="D13" s="14" t="s">
        <v>38</v>
      </c>
      <c r="E13" s="53" t="s">
        <v>39</v>
      </c>
      <c r="F13" s="14" t="s">
        <v>40</v>
      </c>
      <c r="G13" s="56" t="s">
        <v>41</v>
      </c>
      <c r="H13" s="39">
        <v>836</v>
      </c>
      <c r="I13" s="57">
        <v>45475</v>
      </c>
      <c r="J13" s="60">
        <v>1680</v>
      </c>
      <c r="K13" s="60">
        <v>0</v>
      </c>
      <c r="L13" s="31">
        <v>0</v>
      </c>
      <c r="M13" s="63">
        <f>15.75+15.12+33.6</f>
        <v>64.47</v>
      </c>
      <c r="N13" s="64">
        <v>315</v>
      </c>
      <c r="O13" s="26">
        <f t="shared" si="0"/>
        <v>1995</v>
      </c>
      <c r="P13" s="5"/>
    </row>
    <row r="14" spans="2:16" ht="33" customHeight="1" x14ac:dyDescent="0.25">
      <c r="B14" s="65" t="s">
        <v>23</v>
      </c>
      <c r="C14" s="61" t="s">
        <v>24</v>
      </c>
      <c r="D14" s="66" t="s">
        <v>42</v>
      </c>
      <c r="E14" s="53" t="s">
        <v>39</v>
      </c>
      <c r="F14" s="66" t="s">
        <v>43</v>
      </c>
      <c r="G14" s="67" t="s">
        <v>44</v>
      </c>
      <c r="H14" s="41">
        <v>837</v>
      </c>
      <c r="I14" s="57">
        <v>45475</v>
      </c>
      <c r="J14" s="60">
        <v>1680</v>
      </c>
      <c r="K14" s="60">
        <v>0</v>
      </c>
      <c r="L14" s="31">
        <v>0</v>
      </c>
      <c r="M14" s="63">
        <f>15.75+15.12+33.77</f>
        <v>64.64</v>
      </c>
      <c r="N14" s="64">
        <v>315</v>
      </c>
      <c r="O14" s="26">
        <f t="shared" si="0"/>
        <v>1995</v>
      </c>
      <c r="P14" s="5"/>
    </row>
    <row r="15" spans="2:16" ht="33" customHeight="1" x14ac:dyDescent="0.25">
      <c r="B15" s="37" t="s">
        <v>23</v>
      </c>
      <c r="C15" s="61" t="s">
        <v>24</v>
      </c>
      <c r="D15" s="14" t="s">
        <v>45</v>
      </c>
      <c r="E15" s="53" t="s">
        <v>39</v>
      </c>
      <c r="F15" s="14" t="s">
        <v>46</v>
      </c>
      <c r="G15" s="14" t="s">
        <v>47</v>
      </c>
      <c r="H15" s="39">
        <v>838</v>
      </c>
      <c r="I15" s="57">
        <v>45475</v>
      </c>
      <c r="J15" s="60">
        <v>1680</v>
      </c>
      <c r="K15" s="60">
        <v>0</v>
      </c>
      <c r="L15" s="31">
        <v>0</v>
      </c>
      <c r="M15" s="63">
        <f>15.75+15.12+84</f>
        <v>114.87</v>
      </c>
      <c r="N15" s="64">
        <v>315</v>
      </c>
      <c r="O15" s="26">
        <f t="shared" ref="O15" si="1">J15+K15+N15</f>
        <v>1995</v>
      </c>
      <c r="P15" s="5"/>
    </row>
    <row r="16" spans="2:16" ht="33" customHeight="1" x14ac:dyDescent="0.25">
      <c r="B16" s="37" t="s">
        <v>23</v>
      </c>
      <c r="C16" s="61" t="s">
        <v>24</v>
      </c>
      <c r="D16" s="14" t="s">
        <v>48</v>
      </c>
      <c r="E16" s="53" t="s">
        <v>39</v>
      </c>
      <c r="F16" s="14" t="s">
        <v>49</v>
      </c>
      <c r="G16" s="56" t="s">
        <v>50</v>
      </c>
      <c r="H16" s="39">
        <v>839</v>
      </c>
      <c r="I16" s="57">
        <v>45475</v>
      </c>
      <c r="J16" s="60">
        <v>1680</v>
      </c>
      <c r="K16" s="60">
        <v>0</v>
      </c>
      <c r="L16" s="31">
        <v>0</v>
      </c>
      <c r="M16" s="63">
        <f>15.75+15.12+33.6</f>
        <v>64.47</v>
      </c>
      <c r="N16" s="64">
        <v>315</v>
      </c>
      <c r="O16" s="26">
        <f t="shared" ref="O16" si="2">J16+K16+N16</f>
        <v>1995</v>
      </c>
      <c r="P16" s="5"/>
    </row>
    <row r="17" spans="2:16" ht="33" customHeight="1" x14ac:dyDescent="0.25">
      <c r="B17" s="37" t="s">
        <v>23</v>
      </c>
      <c r="C17" s="61" t="s">
        <v>24</v>
      </c>
      <c r="D17" s="14" t="s">
        <v>51</v>
      </c>
      <c r="E17" s="53" t="s">
        <v>39</v>
      </c>
      <c r="F17" s="14" t="s">
        <v>52</v>
      </c>
      <c r="G17" s="56" t="s">
        <v>53</v>
      </c>
      <c r="H17" s="39">
        <v>840</v>
      </c>
      <c r="I17" s="57">
        <v>45475</v>
      </c>
      <c r="J17" s="60">
        <v>1680</v>
      </c>
      <c r="K17" s="60">
        <v>0</v>
      </c>
      <c r="L17" s="31">
        <v>0</v>
      </c>
      <c r="M17" s="63">
        <f t="shared" ref="M17:M20" si="3">15.75+15.12+33.6</f>
        <v>64.47</v>
      </c>
      <c r="N17" s="64">
        <v>315</v>
      </c>
      <c r="O17" s="26">
        <f t="shared" ref="O17" si="4">J17+K17+N17</f>
        <v>1995</v>
      </c>
      <c r="P17" s="5"/>
    </row>
    <row r="18" spans="2:16" ht="33" customHeight="1" x14ac:dyDescent="0.25">
      <c r="B18" s="65" t="s">
        <v>23</v>
      </c>
      <c r="C18" s="61" t="s">
        <v>24</v>
      </c>
      <c r="D18" s="66" t="s">
        <v>54</v>
      </c>
      <c r="E18" s="53" t="s">
        <v>39</v>
      </c>
      <c r="F18" s="66" t="s">
        <v>55</v>
      </c>
      <c r="G18" s="67" t="s">
        <v>56</v>
      </c>
      <c r="H18" s="41">
        <v>841</v>
      </c>
      <c r="I18" s="68">
        <v>45475</v>
      </c>
      <c r="J18" s="69">
        <v>1680</v>
      </c>
      <c r="K18" s="69">
        <v>0</v>
      </c>
      <c r="L18" s="43">
        <v>0</v>
      </c>
      <c r="M18" s="63">
        <f t="shared" si="3"/>
        <v>64.47</v>
      </c>
      <c r="N18" s="70">
        <v>315</v>
      </c>
      <c r="O18" s="44">
        <f t="shared" si="0"/>
        <v>1995</v>
      </c>
      <c r="P18" s="5"/>
    </row>
    <row r="19" spans="2:16" ht="40.5" customHeight="1" x14ac:dyDescent="0.25">
      <c r="B19" s="37" t="s">
        <v>23</v>
      </c>
      <c r="C19" s="61" t="s">
        <v>24</v>
      </c>
      <c r="D19" s="14" t="s">
        <v>57</v>
      </c>
      <c r="E19" s="53" t="s">
        <v>39</v>
      </c>
      <c r="F19" s="14" t="s">
        <v>58</v>
      </c>
      <c r="G19" s="56" t="s">
        <v>59</v>
      </c>
      <c r="H19" s="39">
        <v>842</v>
      </c>
      <c r="I19" s="71">
        <v>45475</v>
      </c>
      <c r="J19" s="58">
        <v>1680</v>
      </c>
      <c r="K19" s="58">
        <v>0</v>
      </c>
      <c r="L19" s="45">
        <v>0</v>
      </c>
      <c r="M19" s="63">
        <f>15.75+15.12+84</f>
        <v>114.87</v>
      </c>
      <c r="N19" s="72">
        <v>315</v>
      </c>
      <c r="O19" s="32">
        <f t="shared" ref="O19" si="5">J19+K19+N19</f>
        <v>1995</v>
      </c>
      <c r="P19" s="5"/>
    </row>
    <row r="20" spans="2:16" ht="33" customHeight="1" x14ac:dyDescent="0.25">
      <c r="B20" s="37" t="s">
        <v>23</v>
      </c>
      <c r="C20" s="61" t="s">
        <v>24</v>
      </c>
      <c r="D20" s="14" t="s">
        <v>60</v>
      </c>
      <c r="E20" s="53" t="s">
        <v>39</v>
      </c>
      <c r="F20" s="56" t="s">
        <v>61</v>
      </c>
      <c r="G20" s="56" t="s">
        <v>62</v>
      </c>
      <c r="H20" s="39">
        <v>843</v>
      </c>
      <c r="I20" s="71">
        <v>45475</v>
      </c>
      <c r="J20" s="58">
        <v>1680</v>
      </c>
      <c r="K20" s="58">
        <v>0</v>
      </c>
      <c r="L20" s="45">
        <v>0</v>
      </c>
      <c r="M20" s="63">
        <f t="shared" si="3"/>
        <v>64.47</v>
      </c>
      <c r="N20" s="72">
        <v>315</v>
      </c>
      <c r="O20" s="32">
        <f t="shared" ref="O20" si="6">J20+K20+N20</f>
        <v>1995</v>
      </c>
      <c r="P20" s="5"/>
    </row>
    <row r="21" spans="2:16" ht="33" customHeight="1" x14ac:dyDescent="0.25">
      <c r="B21" s="37" t="s">
        <v>23</v>
      </c>
      <c r="C21" s="61" t="s">
        <v>24</v>
      </c>
      <c r="D21" s="14" t="s">
        <v>63</v>
      </c>
      <c r="E21" s="53" t="s">
        <v>39</v>
      </c>
      <c r="F21" s="14" t="s">
        <v>64</v>
      </c>
      <c r="G21" s="56" t="s">
        <v>65</v>
      </c>
      <c r="H21" s="39">
        <v>844</v>
      </c>
      <c r="I21" s="71">
        <v>45475</v>
      </c>
      <c r="J21" s="58">
        <v>1680</v>
      </c>
      <c r="K21" s="58">
        <v>0</v>
      </c>
      <c r="L21" s="45">
        <v>0</v>
      </c>
      <c r="M21" s="37">
        <f>15.75+15.12</f>
        <v>30.869999999999997</v>
      </c>
      <c r="N21" s="72">
        <v>315</v>
      </c>
      <c r="O21" s="32">
        <f t="shared" ref="O21" si="7">J21+K21+N21</f>
        <v>1995</v>
      </c>
      <c r="P21" s="5"/>
    </row>
    <row r="22" spans="2:16" ht="33" customHeight="1" x14ac:dyDescent="0.25">
      <c r="B22" s="37" t="s">
        <v>23</v>
      </c>
      <c r="C22" s="61" t="s">
        <v>24</v>
      </c>
      <c r="D22" s="14" t="s">
        <v>66</v>
      </c>
      <c r="E22" s="53" t="s">
        <v>39</v>
      </c>
      <c r="F22" s="14" t="s">
        <v>67</v>
      </c>
      <c r="G22" s="56" t="s">
        <v>68</v>
      </c>
      <c r="H22" s="39">
        <v>845</v>
      </c>
      <c r="I22" s="71">
        <v>45475</v>
      </c>
      <c r="J22" s="58">
        <v>1680</v>
      </c>
      <c r="K22" s="58">
        <v>0</v>
      </c>
      <c r="L22" s="45">
        <v>0</v>
      </c>
      <c r="M22" s="63">
        <f>15.75+15.12+84</f>
        <v>114.87</v>
      </c>
      <c r="N22" s="72">
        <v>315</v>
      </c>
      <c r="O22" s="32">
        <f t="shared" ref="O22" si="8">J22+K22+N22</f>
        <v>1995</v>
      </c>
      <c r="P22" s="5"/>
    </row>
    <row r="23" spans="2:16" ht="33" customHeight="1" x14ac:dyDescent="0.25">
      <c r="B23" s="37" t="s">
        <v>23</v>
      </c>
      <c r="C23" s="61" t="s">
        <v>24</v>
      </c>
      <c r="D23" s="14" t="s">
        <v>69</v>
      </c>
      <c r="E23" s="53" t="s">
        <v>39</v>
      </c>
      <c r="F23" s="14" t="s">
        <v>70</v>
      </c>
      <c r="G23" s="56" t="s">
        <v>71</v>
      </c>
      <c r="H23" s="39">
        <v>846</v>
      </c>
      <c r="I23" s="71">
        <v>45475</v>
      </c>
      <c r="J23" s="58">
        <v>1680</v>
      </c>
      <c r="K23" s="58">
        <v>0</v>
      </c>
      <c r="L23" s="45">
        <v>0</v>
      </c>
      <c r="M23" s="37">
        <f>15.75+15.12</f>
        <v>30.869999999999997</v>
      </c>
      <c r="N23" s="72">
        <v>315</v>
      </c>
      <c r="O23" s="32">
        <f t="shared" si="0"/>
        <v>1995</v>
      </c>
      <c r="P23" s="5"/>
    </row>
    <row r="24" spans="2:16" ht="33" customHeight="1" x14ac:dyDescent="0.25">
      <c r="B24" s="37" t="s">
        <v>23</v>
      </c>
      <c r="C24" s="61" t="s">
        <v>24</v>
      </c>
      <c r="D24" s="14" t="s">
        <v>72</v>
      </c>
      <c r="E24" s="53" t="s">
        <v>39</v>
      </c>
      <c r="F24" s="14" t="s">
        <v>73</v>
      </c>
      <c r="G24" s="56" t="s">
        <v>74</v>
      </c>
      <c r="H24" s="39">
        <v>847</v>
      </c>
      <c r="I24" s="71">
        <v>45475</v>
      </c>
      <c r="J24" s="58">
        <v>1680</v>
      </c>
      <c r="K24" s="58">
        <v>0</v>
      </c>
      <c r="L24" s="45">
        <v>0</v>
      </c>
      <c r="M24" s="63">
        <f t="shared" ref="M24" si="9">15.75+15.12+33.6</f>
        <v>64.47</v>
      </c>
      <c r="N24" s="72">
        <v>315</v>
      </c>
      <c r="O24" s="32">
        <f t="shared" si="0"/>
        <v>1995</v>
      </c>
      <c r="P24" s="5"/>
    </row>
    <row r="25" spans="2:16" ht="33" customHeight="1" x14ac:dyDescent="0.25">
      <c r="B25" s="37" t="s">
        <v>23</v>
      </c>
      <c r="C25" s="61" t="s">
        <v>24</v>
      </c>
      <c r="D25" s="14" t="s">
        <v>75</v>
      </c>
      <c r="E25" s="53" t="s">
        <v>39</v>
      </c>
      <c r="F25" s="14" t="s">
        <v>76</v>
      </c>
      <c r="G25" s="56" t="s">
        <v>77</v>
      </c>
      <c r="H25" s="39">
        <v>848</v>
      </c>
      <c r="I25" s="71">
        <v>45475</v>
      </c>
      <c r="J25" s="58">
        <v>1680</v>
      </c>
      <c r="K25" s="58">
        <v>0</v>
      </c>
      <c r="L25" s="45">
        <v>0</v>
      </c>
      <c r="M25" s="63">
        <f>15.75+15.12+84</f>
        <v>114.87</v>
      </c>
      <c r="N25" s="72">
        <v>315</v>
      </c>
      <c r="O25" s="32">
        <f t="shared" si="0"/>
        <v>1995</v>
      </c>
      <c r="P25" s="5"/>
    </row>
    <row r="26" spans="2:16" ht="33" customHeight="1" x14ac:dyDescent="0.25">
      <c r="B26" s="37" t="s">
        <v>23</v>
      </c>
      <c r="C26" s="61" t="s">
        <v>24</v>
      </c>
      <c r="D26" s="14" t="s">
        <v>78</v>
      </c>
      <c r="E26" s="53" t="s">
        <v>39</v>
      </c>
      <c r="F26" s="14" t="s">
        <v>79</v>
      </c>
      <c r="G26" s="56" t="s">
        <v>80</v>
      </c>
      <c r="H26" s="39">
        <v>849</v>
      </c>
      <c r="I26" s="71">
        <v>45475</v>
      </c>
      <c r="J26" s="58">
        <v>1680</v>
      </c>
      <c r="K26" s="58">
        <v>0</v>
      </c>
      <c r="L26" s="45">
        <v>0</v>
      </c>
      <c r="M26" s="63">
        <f>15.75+15.12+84</f>
        <v>114.87</v>
      </c>
      <c r="N26" s="72">
        <v>315</v>
      </c>
      <c r="O26" s="32">
        <f t="shared" si="0"/>
        <v>1995</v>
      </c>
      <c r="P26" s="5"/>
    </row>
    <row r="27" spans="2:16" ht="33" customHeight="1" x14ac:dyDescent="0.25">
      <c r="B27" s="37" t="s">
        <v>23</v>
      </c>
      <c r="C27" s="61" t="s">
        <v>24</v>
      </c>
      <c r="D27" s="14" t="s">
        <v>81</v>
      </c>
      <c r="E27" s="42" t="s">
        <v>82</v>
      </c>
      <c r="F27" s="14" t="s">
        <v>83</v>
      </c>
      <c r="G27" s="14" t="s">
        <v>84</v>
      </c>
      <c r="H27" s="39">
        <v>850</v>
      </c>
      <c r="I27" s="71">
        <v>45475</v>
      </c>
      <c r="J27" s="58">
        <v>50648.14</v>
      </c>
      <c r="K27" s="58">
        <v>0</v>
      </c>
      <c r="L27" s="45">
        <v>0</v>
      </c>
      <c r="M27" s="37">
        <f>474.83+455.83+2431.11</f>
        <v>3361.77</v>
      </c>
      <c r="N27" s="72">
        <v>9496.5300000000007</v>
      </c>
      <c r="O27" s="32">
        <f t="shared" si="0"/>
        <v>60144.67</v>
      </c>
      <c r="P27" s="5"/>
    </row>
    <row r="28" spans="2:16" ht="33" customHeight="1" x14ac:dyDescent="0.25">
      <c r="B28" s="37" t="s">
        <v>23</v>
      </c>
      <c r="C28" s="61" t="s">
        <v>24</v>
      </c>
      <c r="D28" s="14" t="s">
        <v>85</v>
      </c>
      <c r="E28" s="29" t="s">
        <v>86</v>
      </c>
      <c r="F28" s="14" t="s">
        <v>87</v>
      </c>
      <c r="G28" s="56" t="s">
        <v>88</v>
      </c>
      <c r="H28" s="39">
        <v>851</v>
      </c>
      <c r="I28" s="71">
        <v>45475</v>
      </c>
      <c r="J28" s="58">
        <v>32800</v>
      </c>
      <c r="K28" s="58">
        <v>0</v>
      </c>
      <c r="L28" s="45">
        <v>0</v>
      </c>
      <c r="M28" s="37">
        <f>307.5+295.2</f>
        <v>602.70000000000005</v>
      </c>
      <c r="N28" s="72">
        <v>6150</v>
      </c>
      <c r="O28" s="32">
        <f t="shared" si="0"/>
        <v>38950</v>
      </c>
      <c r="P28" s="5"/>
    </row>
    <row r="29" spans="2:16" ht="33" customHeight="1" x14ac:dyDescent="0.25">
      <c r="B29" s="37" t="s">
        <v>23</v>
      </c>
      <c r="C29" s="61" t="s">
        <v>24</v>
      </c>
      <c r="D29" s="14" t="s">
        <v>89</v>
      </c>
      <c r="E29" s="49">
        <v>45475</v>
      </c>
      <c r="F29" s="14" t="s">
        <v>90</v>
      </c>
      <c r="G29" s="56" t="s">
        <v>91</v>
      </c>
      <c r="H29" s="39">
        <v>852</v>
      </c>
      <c r="I29" s="71">
        <v>45475</v>
      </c>
      <c r="J29" s="58"/>
      <c r="K29" s="58">
        <v>44565.88</v>
      </c>
      <c r="L29" s="45">
        <v>0</v>
      </c>
      <c r="M29" s="37">
        <f>2228.29+2139.16</f>
        <v>4367.45</v>
      </c>
      <c r="N29" s="72">
        <v>0</v>
      </c>
      <c r="O29" s="32">
        <f t="shared" si="0"/>
        <v>44565.88</v>
      </c>
      <c r="P29" s="34">
        <v>45474</v>
      </c>
    </row>
    <row r="30" spans="2:16" ht="33" customHeight="1" x14ac:dyDescent="0.25">
      <c r="B30" s="73" t="s">
        <v>23</v>
      </c>
      <c r="C30" s="61" t="s">
        <v>24</v>
      </c>
      <c r="D30" s="74" t="s">
        <v>92</v>
      </c>
      <c r="E30" s="92">
        <v>45511</v>
      </c>
      <c r="F30" s="14" t="s">
        <v>26</v>
      </c>
      <c r="G30" s="56" t="s">
        <v>27</v>
      </c>
      <c r="H30" s="46">
        <v>870</v>
      </c>
      <c r="I30" s="75">
        <v>45511</v>
      </c>
      <c r="J30" s="60"/>
      <c r="K30" s="60">
        <v>9600</v>
      </c>
      <c r="L30" s="33">
        <v>0</v>
      </c>
      <c r="M30" s="63">
        <f>19.2+18.43+480</f>
        <v>517.63</v>
      </c>
      <c r="N30" s="64">
        <v>384</v>
      </c>
      <c r="O30" s="47">
        <f t="shared" si="0"/>
        <v>9984</v>
      </c>
      <c r="P30" s="5"/>
    </row>
    <row r="31" spans="2:16" ht="33" customHeight="1" x14ac:dyDescent="0.25">
      <c r="B31" s="76" t="s">
        <v>23</v>
      </c>
      <c r="C31" s="61" t="s">
        <v>24</v>
      </c>
      <c r="D31" s="77" t="s">
        <v>93</v>
      </c>
      <c r="E31" s="92">
        <v>45511</v>
      </c>
      <c r="F31" s="14" t="s">
        <v>26</v>
      </c>
      <c r="G31" s="56" t="s">
        <v>27</v>
      </c>
      <c r="H31" s="46">
        <v>871</v>
      </c>
      <c r="I31" s="75">
        <v>45511</v>
      </c>
      <c r="J31" s="60"/>
      <c r="K31" s="60">
        <v>55484</v>
      </c>
      <c r="L31" s="31">
        <v>0</v>
      </c>
      <c r="M31" s="63">
        <f>110.97+106.53+2774.2</f>
        <v>2991.7</v>
      </c>
      <c r="N31" s="64">
        <v>2219.36</v>
      </c>
      <c r="O31" s="26">
        <f t="shared" si="0"/>
        <v>57703.360000000001</v>
      </c>
      <c r="P31" s="5"/>
    </row>
    <row r="32" spans="2:16" ht="33" customHeight="1" x14ac:dyDescent="0.25">
      <c r="B32" s="76" t="s">
        <v>23</v>
      </c>
      <c r="C32" s="61" t="s">
        <v>24</v>
      </c>
      <c r="D32" s="77" t="s">
        <v>94</v>
      </c>
      <c r="E32" s="92">
        <v>45511</v>
      </c>
      <c r="F32" s="66" t="s">
        <v>26</v>
      </c>
      <c r="G32" s="67" t="s">
        <v>27</v>
      </c>
      <c r="H32" s="46">
        <v>872</v>
      </c>
      <c r="I32" s="75">
        <v>45511</v>
      </c>
      <c r="J32" s="60"/>
      <c r="K32" s="60">
        <v>11300</v>
      </c>
      <c r="L32" s="31">
        <v>0</v>
      </c>
      <c r="M32" s="63">
        <f>22.6+21.7+565</f>
        <v>609.29999999999995</v>
      </c>
      <c r="N32" s="64">
        <v>452</v>
      </c>
      <c r="O32" s="26">
        <f t="shared" si="0"/>
        <v>11752</v>
      </c>
      <c r="P32" s="5"/>
    </row>
    <row r="33" spans="2:17" ht="33" customHeight="1" x14ac:dyDescent="0.25">
      <c r="B33" s="76" t="s">
        <v>23</v>
      </c>
      <c r="C33" s="61" t="s">
        <v>24</v>
      </c>
      <c r="D33" s="77" t="s">
        <v>95</v>
      </c>
      <c r="E33" s="92">
        <v>45511</v>
      </c>
      <c r="F33" s="93" t="s">
        <v>96</v>
      </c>
      <c r="G33" s="56" t="s">
        <v>97</v>
      </c>
      <c r="H33" s="46">
        <v>873</v>
      </c>
      <c r="I33" s="75">
        <v>45511</v>
      </c>
      <c r="J33" s="60"/>
      <c r="K33" s="60">
        <v>2450</v>
      </c>
      <c r="L33" s="31">
        <v>0</v>
      </c>
      <c r="M33" s="63">
        <f>4.9+4.7+58.31</f>
        <v>67.91</v>
      </c>
      <c r="N33" s="64">
        <v>98</v>
      </c>
      <c r="O33" s="26">
        <f t="shared" si="0"/>
        <v>2548</v>
      </c>
      <c r="P33" s="5"/>
      <c r="Q33" s="5"/>
    </row>
    <row r="34" spans="2:17" ht="33" customHeight="1" x14ac:dyDescent="0.25">
      <c r="B34" s="76" t="s">
        <v>23</v>
      </c>
      <c r="C34" s="61" t="s">
        <v>24</v>
      </c>
      <c r="D34" s="77" t="s">
        <v>98</v>
      </c>
      <c r="E34" s="92">
        <v>45511</v>
      </c>
      <c r="F34" s="94" t="s">
        <v>99</v>
      </c>
      <c r="G34" s="95" t="s">
        <v>100</v>
      </c>
      <c r="H34" s="46">
        <v>874</v>
      </c>
      <c r="I34" s="75">
        <v>45511</v>
      </c>
      <c r="J34" s="60"/>
      <c r="K34" s="60">
        <v>8900</v>
      </c>
      <c r="L34" s="31">
        <v>0</v>
      </c>
      <c r="M34" s="63">
        <f>17.8+17.09</f>
        <v>34.89</v>
      </c>
      <c r="N34" s="64">
        <v>356</v>
      </c>
      <c r="O34" s="26">
        <f t="shared" si="0"/>
        <v>9256</v>
      </c>
      <c r="P34" s="5"/>
    </row>
    <row r="35" spans="2:17" ht="33" customHeight="1" x14ac:dyDescent="0.25">
      <c r="B35" s="76" t="s">
        <v>23</v>
      </c>
      <c r="C35" s="61" t="s">
        <v>24</v>
      </c>
      <c r="D35" s="77" t="s">
        <v>101</v>
      </c>
      <c r="E35" s="92">
        <v>45511</v>
      </c>
      <c r="F35" s="94" t="s">
        <v>99</v>
      </c>
      <c r="G35" s="95" t="s">
        <v>100</v>
      </c>
      <c r="H35" s="46">
        <v>875</v>
      </c>
      <c r="I35" s="75">
        <v>45511</v>
      </c>
      <c r="J35" s="60"/>
      <c r="K35" s="60">
        <v>30571</v>
      </c>
      <c r="L35" s="31">
        <v>0</v>
      </c>
      <c r="M35" s="63">
        <f>61.14+58.7</f>
        <v>119.84</v>
      </c>
      <c r="N35" s="64">
        <v>1222.8399999999999</v>
      </c>
      <c r="O35" s="26">
        <f t="shared" si="0"/>
        <v>31793.84</v>
      </c>
      <c r="P35" s="5"/>
    </row>
    <row r="36" spans="2:17" ht="33" customHeight="1" x14ac:dyDescent="0.25">
      <c r="B36" s="76" t="s">
        <v>23</v>
      </c>
      <c r="C36" s="14" t="s">
        <v>24</v>
      </c>
      <c r="D36" s="77" t="s">
        <v>102</v>
      </c>
      <c r="E36" s="92">
        <v>45511</v>
      </c>
      <c r="F36" s="78" t="s">
        <v>103</v>
      </c>
      <c r="G36" s="67" t="s">
        <v>104</v>
      </c>
      <c r="H36" s="46">
        <v>876</v>
      </c>
      <c r="I36" s="75">
        <v>45511</v>
      </c>
      <c r="J36" s="60">
        <v>1680</v>
      </c>
      <c r="K36" s="60">
        <v>0</v>
      </c>
      <c r="L36" s="31">
        <v>0</v>
      </c>
      <c r="M36" s="63">
        <f>15.75+15.12+33.6</f>
        <v>64.47</v>
      </c>
      <c r="N36" s="64">
        <v>315</v>
      </c>
      <c r="O36" s="26">
        <f t="shared" si="0"/>
        <v>1995</v>
      </c>
      <c r="P36" s="5"/>
    </row>
    <row r="37" spans="2:17" ht="33" customHeight="1" x14ac:dyDescent="0.25">
      <c r="B37" s="76" t="s">
        <v>23</v>
      </c>
      <c r="C37" s="14" t="s">
        <v>24</v>
      </c>
      <c r="D37" s="14" t="s">
        <v>105</v>
      </c>
      <c r="E37" s="96">
        <v>45511</v>
      </c>
      <c r="F37" s="14" t="s">
        <v>106</v>
      </c>
      <c r="G37" s="56" t="s">
        <v>107</v>
      </c>
      <c r="H37" s="46">
        <v>877</v>
      </c>
      <c r="I37" s="75">
        <v>45511</v>
      </c>
      <c r="J37" s="60">
        <v>1680</v>
      </c>
      <c r="K37" s="60">
        <v>0</v>
      </c>
      <c r="L37" s="31">
        <v>0</v>
      </c>
      <c r="M37" s="63">
        <f>15.75+15.12+35.28</f>
        <v>66.150000000000006</v>
      </c>
      <c r="N37" s="64">
        <v>315</v>
      </c>
      <c r="O37" s="26">
        <f t="shared" si="0"/>
        <v>1995</v>
      </c>
      <c r="P37" s="5"/>
    </row>
    <row r="38" spans="2:17" ht="33" customHeight="1" x14ac:dyDescent="0.25">
      <c r="B38" s="79" t="s">
        <v>23</v>
      </c>
      <c r="C38" s="14" t="s">
        <v>24</v>
      </c>
      <c r="D38" s="66" t="s">
        <v>108</v>
      </c>
      <c r="E38" s="96">
        <v>45511</v>
      </c>
      <c r="F38" s="66" t="s">
        <v>109</v>
      </c>
      <c r="G38" s="67" t="s">
        <v>110</v>
      </c>
      <c r="H38" s="46">
        <v>878</v>
      </c>
      <c r="I38" s="75">
        <v>45511</v>
      </c>
      <c r="J38" s="60">
        <v>1680</v>
      </c>
      <c r="K38" s="60">
        <v>0</v>
      </c>
      <c r="L38" s="31">
        <v>0</v>
      </c>
      <c r="M38" s="63">
        <f>15.75+15.12+84</f>
        <v>114.87</v>
      </c>
      <c r="N38" s="64">
        <v>315</v>
      </c>
      <c r="O38" s="26">
        <f t="shared" si="0"/>
        <v>1995</v>
      </c>
      <c r="P38" s="5"/>
    </row>
    <row r="39" spans="2:17" ht="33" customHeight="1" x14ac:dyDescent="0.25">
      <c r="B39" s="37" t="s">
        <v>23</v>
      </c>
      <c r="C39" s="14" t="s">
        <v>24</v>
      </c>
      <c r="D39" s="14" t="s">
        <v>111</v>
      </c>
      <c r="E39" s="96">
        <v>45511</v>
      </c>
      <c r="F39" s="14" t="s">
        <v>112</v>
      </c>
      <c r="G39" s="56" t="s">
        <v>113</v>
      </c>
      <c r="H39" s="46">
        <v>879</v>
      </c>
      <c r="I39" s="75">
        <v>45511</v>
      </c>
      <c r="J39" s="60">
        <v>1680</v>
      </c>
      <c r="K39" s="60">
        <v>0</v>
      </c>
      <c r="L39" s="31">
        <v>0</v>
      </c>
      <c r="M39" s="63">
        <f>15.75+15.12+33.77</f>
        <v>64.64</v>
      </c>
      <c r="N39" s="64">
        <v>315</v>
      </c>
      <c r="O39" s="26">
        <f t="shared" si="0"/>
        <v>1995</v>
      </c>
      <c r="P39" s="5"/>
    </row>
    <row r="40" spans="2:17" ht="33" customHeight="1" x14ac:dyDescent="0.25">
      <c r="B40" s="37" t="s">
        <v>23</v>
      </c>
      <c r="C40" s="14" t="s">
        <v>24</v>
      </c>
      <c r="D40" s="14" t="s">
        <v>114</v>
      </c>
      <c r="E40" s="96">
        <v>45511</v>
      </c>
      <c r="F40" s="14" t="s">
        <v>115</v>
      </c>
      <c r="G40" s="56" t="s">
        <v>116</v>
      </c>
      <c r="H40" s="46">
        <v>880</v>
      </c>
      <c r="I40" s="75">
        <v>45511</v>
      </c>
      <c r="J40" s="60">
        <v>1680</v>
      </c>
      <c r="K40" s="60">
        <v>0</v>
      </c>
      <c r="L40" s="31">
        <v>0</v>
      </c>
      <c r="M40" s="63">
        <f>15.75+15.12+33.6</f>
        <v>64.47</v>
      </c>
      <c r="N40" s="64">
        <v>315</v>
      </c>
      <c r="O40" s="26">
        <f t="shared" si="0"/>
        <v>1995</v>
      </c>
      <c r="P40" s="5"/>
    </row>
    <row r="41" spans="2:17" ht="33" customHeight="1" x14ac:dyDescent="0.25">
      <c r="B41" s="65" t="s">
        <v>23</v>
      </c>
      <c r="C41" s="14" t="s">
        <v>24</v>
      </c>
      <c r="D41" s="66" t="s">
        <v>117</v>
      </c>
      <c r="E41" s="96">
        <v>45511</v>
      </c>
      <c r="F41" s="66" t="s">
        <v>118</v>
      </c>
      <c r="G41" s="67" t="s">
        <v>119</v>
      </c>
      <c r="H41" s="48">
        <v>881</v>
      </c>
      <c r="I41" s="80">
        <v>45511</v>
      </c>
      <c r="J41" s="69">
        <v>1680</v>
      </c>
      <c r="K41" s="60">
        <v>0</v>
      </c>
      <c r="L41" s="31">
        <v>0</v>
      </c>
      <c r="M41" s="63">
        <f>15.75+15.12+33.6</f>
        <v>64.47</v>
      </c>
      <c r="N41" s="64">
        <v>315</v>
      </c>
      <c r="O41" s="26">
        <f t="shared" si="0"/>
        <v>1995</v>
      </c>
      <c r="P41" s="5"/>
    </row>
    <row r="42" spans="2:17" ht="41.25" customHeight="1" x14ac:dyDescent="0.25">
      <c r="B42" s="37" t="s">
        <v>23</v>
      </c>
      <c r="C42" s="14" t="s">
        <v>24</v>
      </c>
      <c r="D42" s="14" t="s">
        <v>120</v>
      </c>
      <c r="E42" s="96">
        <v>45511</v>
      </c>
      <c r="F42" s="14" t="s">
        <v>121</v>
      </c>
      <c r="G42" s="56" t="s">
        <v>122</v>
      </c>
      <c r="H42" s="39">
        <v>882</v>
      </c>
      <c r="I42" s="81">
        <v>45511</v>
      </c>
      <c r="J42" s="58">
        <v>1680</v>
      </c>
      <c r="K42" s="60">
        <v>0</v>
      </c>
      <c r="L42" s="31">
        <v>0</v>
      </c>
      <c r="M42" s="63">
        <f>15.75+15.12+33.6</f>
        <v>64.47</v>
      </c>
      <c r="N42" s="64">
        <v>315</v>
      </c>
      <c r="O42" s="26">
        <f t="shared" si="0"/>
        <v>1995</v>
      </c>
      <c r="P42" s="5"/>
    </row>
    <row r="43" spans="2:17" ht="33" customHeight="1" x14ac:dyDescent="0.25">
      <c r="B43" s="37" t="s">
        <v>23</v>
      </c>
      <c r="C43" s="14" t="s">
        <v>24</v>
      </c>
      <c r="D43" s="66" t="s">
        <v>123</v>
      </c>
      <c r="E43" s="96">
        <v>45511</v>
      </c>
      <c r="F43" s="66" t="s">
        <v>124</v>
      </c>
      <c r="G43" s="66" t="s">
        <v>125</v>
      </c>
      <c r="H43" s="39">
        <v>883</v>
      </c>
      <c r="I43" s="81">
        <v>45511</v>
      </c>
      <c r="J43" s="58">
        <v>1680</v>
      </c>
      <c r="K43" s="60">
        <v>0</v>
      </c>
      <c r="L43" s="31">
        <v>0</v>
      </c>
      <c r="M43" s="63">
        <f>15.75+15.12+33.77</f>
        <v>64.64</v>
      </c>
      <c r="N43" s="64">
        <v>315</v>
      </c>
      <c r="O43" s="26">
        <f t="shared" si="0"/>
        <v>1995</v>
      </c>
      <c r="P43" s="5"/>
    </row>
    <row r="44" spans="2:17" ht="33" customHeight="1" x14ac:dyDescent="0.25">
      <c r="B44" s="73" t="s">
        <v>23</v>
      </c>
      <c r="C44" s="14" t="s">
        <v>24</v>
      </c>
      <c r="D44" s="14" t="s">
        <v>126</v>
      </c>
      <c r="E44" s="96">
        <v>45511</v>
      </c>
      <c r="F44" s="14" t="s">
        <v>127</v>
      </c>
      <c r="G44" s="56" t="s">
        <v>128</v>
      </c>
      <c r="H44" s="46">
        <v>884</v>
      </c>
      <c r="I44" s="75">
        <v>45511</v>
      </c>
      <c r="J44" s="58">
        <v>1680</v>
      </c>
      <c r="K44" s="60">
        <v>0</v>
      </c>
      <c r="L44" s="31">
        <v>0</v>
      </c>
      <c r="M44" s="63">
        <f>15.75+15.12+33.6</f>
        <v>64.47</v>
      </c>
      <c r="N44" s="64">
        <v>315</v>
      </c>
      <c r="O44" s="26">
        <f t="shared" si="0"/>
        <v>1995</v>
      </c>
      <c r="P44" s="5"/>
    </row>
    <row r="45" spans="2:17" ht="33" customHeight="1" x14ac:dyDescent="0.25">
      <c r="B45" s="76" t="s">
        <v>23</v>
      </c>
      <c r="C45" s="14" t="s">
        <v>24</v>
      </c>
      <c r="D45" s="14" t="s">
        <v>129</v>
      </c>
      <c r="E45" s="96">
        <v>45511</v>
      </c>
      <c r="F45" s="14" t="s">
        <v>130</v>
      </c>
      <c r="G45" s="56" t="s">
        <v>71</v>
      </c>
      <c r="H45" s="46">
        <v>885</v>
      </c>
      <c r="I45" s="75">
        <v>45511</v>
      </c>
      <c r="J45" s="58">
        <v>1680</v>
      </c>
      <c r="K45" s="60">
        <v>0</v>
      </c>
      <c r="L45" s="31">
        <v>0</v>
      </c>
      <c r="M45" s="63">
        <f>15.75+15.12</f>
        <v>30.869999999999997</v>
      </c>
      <c r="N45" s="64">
        <v>315</v>
      </c>
      <c r="O45" s="26">
        <f t="shared" si="0"/>
        <v>1995</v>
      </c>
      <c r="P45" s="5"/>
    </row>
    <row r="46" spans="2:17" ht="33" customHeight="1" x14ac:dyDescent="0.25">
      <c r="B46" s="76" t="s">
        <v>23</v>
      </c>
      <c r="C46" s="14" t="s">
        <v>24</v>
      </c>
      <c r="D46" s="74" t="s">
        <v>131</v>
      </c>
      <c r="E46" s="96">
        <v>45511</v>
      </c>
      <c r="F46" s="14" t="s">
        <v>132</v>
      </c>
      <c r="G46" s="56" t="s">
        <v>133</v>
      </c>
      <c r="H46" s="48">
        <v>886</v>
      </c>
      <c r="I46" s="75">
        <v>45511</v>
      </c>
      <c r="J46" s="58">
        <v>1680</v>
      </c>
      <c r="K46" s="60">
        <v>0</v>
      </c>
      <c r="L46" s="31">
        <v>0</v>
      </c>
      <c r="M46" s="63">
        <f>15.75+15.12+33.77</f>
        <v>64.64</v>
      </c>
      <c r="N46" s="64">
        <v>315</v>
      </c>
      <c r="O46" s="26">
        <f t="shared" si="0"/>
        <v>1995</v>
      </c>
      <c r="P46" s="5"/>
    </row>
    <row r="47" spans="2:17" ht="33" customHeight="1" x14ac:dyDescent="0.25">
      <c r="B47" s="79" t="s">
        <v>23</v>
      </c>
      <c r="C47" s="14" t="s">
        <v>24</v>
      </c>
      <c r="D47" s="14" t="s">
        <v>134</v>
      </c>
      <c r="E47" s="96">
        <v>45511</v>
      </c>
      <c r="F47" s="74" t="s">
        <v>135</v>
      </c>
      <c r="G47" s="82" t="s">
        <v>136</v>
      </c>
      <c r="H47" s="14">
        <v>887</v>
      </c>
      <c r="I47" s="83">
        <v>45511</v>
      </c>
      <c r="J47" s="58">
        <v>1680</v>
      </c>
      <c r="K47" s="60">
        <v>0</v>
      </c>
      <c r="L47" s="31">
        <v>0</v>
      </c>
      <c r="M47" s="63">
        <f>15.75+15.12+84</f>
        <v>114.87</v>
      </c>
      <c r="N47" s="64">
        <v>315</v>
      </c>
      <c r="O47" s="26">
        <f t="shared" si="0"/>
        <v>1995</v>
      </c>
      <c r="P47" s="5"/>
    </row>
    <row r="48" spans="2:17" ht="33" customHeight="1" x14ac:dyDescent="0.25">
      <c r="B48" s="79" t="s">
        <v>23</v>
      </c>
      <c r="C48" s="14" t="s">
        <v>24</v>
      </c>
      <c r="D48" s="66" t="s">
        <v>137</v>
      </c>
      <c r="E48" s="96">
        <v>45511</v>
      </c>
      <c r="F48" s="78" t="s">
        <v>138</v>
      </c>
      <c r="G48" s="56" t="s">
        <v>50</v>
      </c>
      <c r="H48" s="46">
        <v>888</v>
      </c>
      <c r="I48" s="75">
        <v>45511</v>
      </c>
      <c r="J48" s="58">
        <v>1680</v>
      </c>
      <c r="K48" s="60">
        <v>0</v>
      </c>
      <c r="L48" s="31">
        <v>0</v>
      </c>
      <c r="M48" s="63">
        <f>15.75+15.12+33.6</f>
        <v>64.47</v>
      </c>
      <c r="N48" s="64">
        <v>315</v>
      </c>
      <c r="O48" s="26">
        <f t="shared" si="0"/>
        <v>1995</v>
      </c>
      <c r="P48" s="5"/>
    </row>
    <row r="49" spans="2:22" ht="33" customHeight="1" x14ac:dyDescent="0.25">
      <c r="B49" s="79" t="s">
        <v>23</v>
      </c>
      <c r="C49" s="14" t="s">
        <v>24</v>
      </c>
      <c r="D49" s="66" t="s">
        <v>139</v>
      </c>
      <c r="E49" s="96">
        <v>45511</v>
      </c>
      <c r="F49" s="78" t="s">
        <v>140</v>
      </c>
      <c r="G49" s="67" t="s">
        <v>141</v>
      </c>
      <c r="H49" s="48">
        <v>889</v>
      </c>
      <c r="I49" s="80">
        <v>45511</v>
      </c>
      <c r="J49" s="84">
        <v>1680</v>
      </c>
      <c r="K49" s="69">
        <v>0</v>
      </c>
      <c r="L49" s="43">
        <v>0</v>
      </c>
      <c r="M49" s="63">
        <f>15.75+15.12+33.6</f>
        <v>64.47</v>
      </c>
      <c r="N49" s="70">
        <v>315</v>
      </c>
      <c r="O49" s="44">
        <f t="shared" si="0"/>
        <v>1995</v>
      </c>
      <c r="P49" s="5"/>
    </row>
    <row r="50" spans="2:22" ht="33" customHeight="1" x14ac:dyDescent="0.25">
      <c r="B50" s="37" t="s">
        <v>23</v>
      </c>
      <c r="C50" s="14" t="s">
        <v>24</v>
      </c>
      <c r="D50" s="14" t="s">
        <v>142</v>
      </c>
      <c r="E50" s="96">
        <v>45511</v>
      </c>
      <c r="F50" s="14" t="s">
        <v>143</v>
      </c>
      <c r="G50" s="56" t="s">
        <v>144</v>
      </c>
      <c r="H50" s="39">
        <v>890</v>
      </c>
      <c r="I50" s="81">
        <v>45511</v>
      </c>
      <c r="J50" s="58">
        <v>1680</v>
      </c>
      <c r="K50" s="58">
        <v>0</v>
      </c>
      <c r="L50" s="45">
        <v>0</v>
      </c>
      <c r="M50" s="63">
        <f>15.75+15.12+84+80.64</f>
        <v>195.51</v>
      </c>
      <c r="N50" s="72">
        <v>315</v>
      </c>
      <c r="O50" s="32">
        <f t="shared" si="0"/>
        <v>1995</v>
      </c>
      <c r="P50" s="5"/>
      <c r="Q50" s="5"/>
      <c r="R50" s="5"/>
      <c r="S50" s="5"/>
      <c r="T50" s="5"/>
      <c r="U50" s="5"/>
      <c r="V50" t="s">
        <v>145</v>
      </c>
    </row>
    <row r="51" spans="2:22" ht="33" customHeight="1" x14ac:dyDescent="0.25">
      <c r="B51" s="37" t="s">
        <v>23</v>
      </c>
      <c r="C51" s="14" t="s">
        <v>24</v>
      </c>
      <c r="D51" s="14" t="s">
        <v>146</v>
      </c>
      <c r="E51" s="96">
        <v>45511</v>
      </c>
      <c r="F51" s="14" t="s">
        <v>147</v>
      </c>
      <c r="G51" s="56" t="s">
        <v>148</v>
      </c>
      <c r="H51" s="39">
        <v>891</v>
      </c>
      <c r="I51" s="81">
        <v>45511</v>
      </c>
      <c r="J51" s="58">
        <v>4600</v>
      </c>
      <c r="K51" s="58">
        <v>0</v>
      </c>
      <c r="L51" s="45">
        <v>0</v>
      </c>
      <c r="M51" s="85">
        <f>43.13+41.4+92</f>
        <v>176.53</v>
      </c>
      <c r="N51" s="58">
        <v>862.5</v>
      </c>
      <c r="O51" s="32">
        <f t="shared" si="0"/>
        <v>5462.5</v>
      </c>
      <c r="P51" s="5"/>
      <c r="Q51" s="5"/>
      <c r="R51" s="5"/>
      <c r="S51" s="5"/>
      <c r="T51" s="5"/>
      <c r="U51" s="5"/>
    </row>
    <row r="52" spans="2:22" ht="33" customHeight="1" x14ac:dyDescent="0.25">
      <c r="B52" s="37" t="s">
        <v>23</v>
      </c>
      <c r="C52" s="14" t="s">
        <v>24</v>
      </c>
      <c r="D52" s="14" t="s">
        <v>149</v>
      </c>
      <c r="E52" s="96">
        <v>45511</v>
      </c>
      <c r="F52" s="14" t="s">
        <v>150</v>
      </c>
      <c r="G52" s="56" t="s">
        <v>151</v>
      </c>
      <c r="H52" s="39">
        <v>892</v>
      </c>
      <c r="I52" s="81">
        <v>45511</v>
      </c>
      <c r="J52" s="58">
        <v>22240</v>
      </c>
      <c r="K52" s="58">
        <v>0</v>
      </c>
      <c r="L52" s="45">
        <v>0</v>
      </c>
      <c r="M52" s="85">
        <f>208.5+200.16+1067.52</f>
        <v>1476.1799999999998</v>
      </c>
      <c r="N52" s="58">
        <v>4170</v>
      </c>
      <c r="O52" s="32">
        <f t="shared" ref="O52" si="10">J52+K52+N52</f>
        <v>26410</v>
      </c>
      <c r="P52" s="5"/>
    </row>
    <row r="53" spans="2:22" ht="33" customHeight="1" x14ac:dyDescent="0.25">
      <c r="B53" s="37" t="s">
        <v>23</v>
      </c>
      <c r="C53" s="14" t="s">
        <v>24</v>
      </c>
      <c r="D53" s="14" t="s">
        <v>42</v>
      </c>
      <c r="E53" s="96">
        <v>45511</v>
      </c>
      <c r="F53" s="14" t="s">
        <v>36</v>
      </c>
      <c r="G53" s="56" t="s">
        <v>37</v>
      </c>
      <c r="H53" s="39">
        <v>893</v>
      </c>
      <c r="I53" s="81">
        <v>45511</v>
      </c>
      <c r="J53" s="58">
        <v>51792</v>
      </c>
      <c r="K53" s="58">
        <v>0</v>
      </c>
      <c r="L53" s="45">
        <v>0</v>
      </c>
      <c r="M53" s="85">
        <f>485.55+466.13+2589.6</f>
        <v>3541.2799999999997</v>
      </c>
      <c r="N53" s="58">
        <v>9711</v>
      </c>
      <c r="O53" s="32">
        <f t="shared" ref="O53:O54" si="11">J53+K53+N53</f>
        <v>61503</v>
      </c>
      <c r="P53" s="5"/>
    </row>
    <row r="54" spans="2:22" ht="33" customHeight="1" x14ac:dyDescent="0.25">
      <c r="B54" s="37" t="s">
        <v>23</v>
      </c>
      <c r="C54" s="14" t="s">
        <v>24</v>
      </c>
      <c r="D54" s="14" t="s">
        <v>152</v>
      </c>
      <c r="E54" s="96">
        <v>45511</v>
      </c>
      <c r="F54" s="14" t="s">
        <v>87</v>
      </c>
      <c r="G54" s="56" t="s">
        <v>88</v>
      </c>
      <c r="H54" s="39">
        <v>894</v>
      </c>
      <c r="I54" s="81">
        <v>45511</v>
      </c>
      <c r="J54" s="58">
        <v>9290.4</v>
      </c>
      <c r="K54" s="58">
        <v>0</v>
      </c>
      <c r="L54" s="45">
        <v>0</v>
      </c>
      <c r="M54" s="85">
        <f>87.1+83.61</f>
        <v>170.70999999999998</v>
      </c>
      <c r="N54" s="58">
        <v>1741.95</v>
      </c>
      <c r="O54" s="32">
        <f t="shared" si="11"/>
        <v>11032.35</v>
      </c>
      <c r="P54" s="5"/>
    </row>
    <row r="55" spans="2:22" ht="33" customHeight="1" x14ac:dyDescent="0.25">
      <c r="B55" s="37" t="s">
        <v>23</v>
      </c>
      <c r="C55" s="14" t="s">
        <v>24</v>
      </c>
      <c r="D55" s="14" t="s">
        <v>153</v>
      </c>
      <c r="E55" s="96">
        <v>45511</v>
      </c>
      <c r="F55" s="56" t="s">
        <v>154</v>
      </c>
      <c r="G55" s="56" t="s">
        <v>155</v>
      </c>
      <c r="H55" s="39">
        <v>895</v>
      </c>
      <c r="I55" s="81">
        <v>45511</v>
      </c>
      <c r="J55" s="58">
        <v>7040</v>
      </c>
      <c r="K55" s="58">
        <v>0</v>
      </c>
      <c r="L55" s="45">
        <v>0</v>
      </c>
      <c r="M55" s="85">
        <f>66+63.36+337.92</f>
        <v>467.28000000000003</v>
      </c>
      <c r="N55" s="58">
        <v>1320</v>
      </c>
      <c r="O55" s="32">
        <f t="shared" ref="O55:O61" si="12">J55+K55+N55</f>
        <v>8360</v>
      </c>
      <c r="P55" s="5"/>
    </row>
    <row r="56" spans="2:22" ht="33" customHeight="1" x14ac:dyDescent="0.25">
      <c r="B56" s="37" t="s">
        <v>23</v>
      </c>
      <c r="C56" s="14" t="s">
        <v>24</v>
      </c>
      <c r="D56" s="14" t="s">
        <v>156</v>
      </c>
      <c r="E56" s="96">
        <v>45511</v>
      </c>
      <c r="F56" s="56" t="s">
        <v>157</v>
      </c>
      <c r="G56" s="56" t="s">
        <v>158</v>
      </c>
      <c r="H56" s="39">
        <v>896</v>
      </c>
      <c r="I56" s="81">
        <v>45511</v>
      </c>
      <c r="J56" s="58">
        <v>9743.36</v>
      </c>
      <c r="K56" s="58">
        <v>0</v>
      </c>
      <c r="L56" s="45">
        <v>0</v>
      </c>
      <c r="M56" s="86">
        <f>91.34+87.69+487.17</f>
        <v>666.2</v>
      </c>
      <c r="N56" s="58">
        <v>1826.88</v>
      </c>
      <c r="O56" s="32">
        <f t="shared" si="12"/>
        <v>11570.240000000002</v>
      </c>
      <c r="P56" s="5"/>
    </row>
    <row r="57" spans="2:22" ht="33" customHeight="1" x14ac:dyDescent="0.25">
      <c r="B57" s="37" t="s">
        <v>23</v>
      </c>
      <c r="C57" s="14" t="s">
        <v>24</v>
      </c>
      <c r="D57" s="14" t="s">
        <v>159</v>
      </c>
      <c r="E57" s="96">
        <v>45511</v>
      </c>
      <c r="F57" s="56" t="s">
        <v>160</v>
      </c>
      <c r="G57" s="56" t="s">
        <v>84</v>
      </c>
      <c r="H57" s="39">
        <v>897</v>
      </c>
      <c r="I57" s="81">
        <v>45511</v>
      </c>
      <c r="J57" s="58">
        <v>30472.84</v>
      </c>
      <c r="K57" s="58">
        <v>0</v>
      </c>
      <c r="L57" s="45">
        <v>0</v>
      </c>
      <c r="M57" s="86">
        <f>285.68+274.26+1462.7</f>
        <v>2022.64</v>
      </c>
      <c r="N57" s="58">
        <v>5713.66</v>
      </c>
      <c r="O57" s="32">
        <f t="shared" si="12"/>
        <v>36186.5</v>
      </c>
      <c r="P57" s="5"/>
    </row>
    <row r="58" spans="2:22" ht="33" customHeight="1" x14ac:dyDescent="0.25">
      <c r="B58" s="65" t="s">
        <v>23</v>
      </c>
      <c r="C58" s="14" t="s">
        <v>24</v>
      </c>
      <c r="D58" s="66" t="s">
        <v>161</v>
      </c>
      <c r="E58" s="96">
        <v>45511</v>
      </c>
      <c r="F58" s="66" t="s">
        <v>162</v>
      </c>
      <c r="G58" s="67" t="s">
        <v>163</v>
      </c>
      <c r="H58" s="41">
        <v>898</v>
      </c>
      <c r="I58" s="87">
        <v>45511</v>
      </c>
      <c r="J58" s="84">
        <v>20580</v>
      </c>
      <c r="K58" s="58">
        <v>0</v>
      </c>
      <c r="L58" s="50">
        <v>0</v>
      </c>
      <c r="M58" s="88">
        <f>192.94+185.22</f>
        <v>378.15999999999997</v>
      </c>
      <c r="N58" s="84">
        <v>3858.75</v>
      </c>
      <c r="O58" s="32">
        <f t="shared" si="12"/>
        <v>24438.75</v>
      </c>
      <c r="P58" s="5"/>
    </row>
    <row r="59" spans="2:22" ht="34.5" customHeight="1" x14ac:dyDescent="0.25">
      <c r="B59" s="37" t="s">
        <v>23</v>
      </c>
      <c r="C59" s="14" t="s">
        <v>24</v>
      </c>
      <c r="D59" s="56" t="s">
        <v>164</v>
      </c>
      <c r="E59" s="96">
        <v>45511</v>
      </c>
      <c r="F59" s="14" t="s">
        <v>165</v>
      </c>
      <c r="G59" s="56" t="s">
        <v>166</v>
      </c>
      <c r="H59" s="39">
        <v>899</v>
      </c>
      <c r="I59" s="81">
        <v>45511</v>
      </c>
      <c r="J59" s="58">
        <v>30240</v>
      </c>
      <c r="K59" s="58">
        <v>0</v>
      </c>
      <c r="L59" s="45">
        <v>0</v>
      </c>
      <c r="M59" s="86">
        <f>283.5+272.16+1512+1451.52</f>
        <v>3519.18</v>
      </c>
      <c r="N59" s="58">
        <v>5670</v>
      </c>
      <c r="O59" s="51">
        <f t="shared" si="12"/>
        <v>35910</v>
      </c>
      <c r="P59" s="5"/>
    </row>
    <row r="60" spans="2:22" ht="33" customHeight="1" x14ac:dyDescent="0.25">
      <c r="B60" s="37" t="s">
        <v>23</v>
      </c>
      <c r="C60" s="14" t="s">
        <v>24</v>
      </c>
      <c r="D60" s="14" t="s">
        <v>164</v>
      </c>
      <c r="E60" s="96">
        <v>45511</v>
      </c>
      <c r="F60" s="56" t="s">
        <v>167</v>
      </c>
      <c r="G60" s="56" t="s">
        <v>168</v>
      </c>
      <c r="H60" s="39">
        <v>900</v>
      </c>
      <c r="I60" s="81">
        <v>45511</v>
      </c>
      <c r="J60" s="58">
        <v>8640</v>
      </c>
      <c r="K60" s="58">
        <v>0</v>
      </c>
      <c r="L60" s="45">
        <v>0</v>
      </c>
      <c r="M60" s="86">
        <f>81+77.76+274.75</f>
        <v>433.51</v>
      </c>
      <c r="N60" s="58">
        <v>1620</v>
      </c>
      <c r="O60" s="52">
        <f t="shared" si="12"/>
        <v>10260</v>
      </c>
      <c r="P60" s="5"/>
    </row>
    <row r="61" spans="2:22" ht="33" customHeight="1" x14ac:dyDescent="0.25">
      <c r="B61" s="37" t="s">
        <v>23</v>
      </c>
      <c r="C61" s="14" t="s">
        <v>24</v>
      </c>
      <c r="D61" s="14" t="s">
        <v>169</v>
      </c>
      <c r="E61" s="96">
        <v>45511</v>
      </c>
      <c r="F61" s="14" t="s">
        <v>90</v>
      </c>
      <c r="G61" s="56" t="s">
        <v>91</v>
      </c>
      <c r="H61" s="39">
        <v>901</v>
      </c>
      <c r="I61" s="81">
        <v>45511</v>
      </c>
      <c r="J61" s="58"/>
      <c r="K61" s="58">
        <v>65729.17</v>
      </c>
      <c r="L61" s="45">
        <v>0</v>
      </c>
      <c r="M61" s="86">
        <f>3286.46+3155</f>
        <v>6441.46</v>
      </c>
      <c r="N61" s="58"/>
      <c r="O61" s="52">
        <f t="shared" si="12"/>
        <v>65729.17</v>
      </c>
      <c r="P61" s="5"/>
    </row>
    <row r="62" spans="2:22" ht="20.25" customHeight="1" x14ac:dyDescent="0.25">
      <c r="B62" s="89"/>
      <c r="C62" s="89"/>
      <c r="D62" s="90"/>
      <c r="E62" s="90"/>
      <c r="F62" s="90"/>
      <c r="G62" s="30"/>
      <c r="H62" s="30" t="s">
        <v>170</v>
      </c>
      <c r="I62" s="30"/>
      <c r="J62" s="91">
        <f t="shared" ref="J62:O62" si="13">SUM(J6:J61)</f>
        <v>389502.81000000006</v>
      </c>
      <c r="K62" s="91">
        <f t="shared" si="13"/>
        <v>343550.05</v>
      </c>
      <c r="L62" s="91">
        <f t="shared" si="13"/>
        <v>0</v>
      </c>
      <c r="M62" s="91">
        <f t="shared" si="13"/>
        <v>44082.580000000009</v>
      </c>
      <c r="N62" s="91">
        <f t="shared" si="13"/>
        <v>82361.969999999987</v>
      </c>
      <c r="O62" s="91">
        <f t="shared" si="13"/>
        <v>815414.83000000007</v>
      </c>
      <c r="P62" s="5"/>
      <c r="R62" s="5"/>
    </row>
    <row r="63" spans="2:22" ht="44.25" customHeight="1" x14ac:dyDescent="0.25">
      <c r="B63" s="1" t="s">
        <v>171</v>
      </c>
      <c r="C63"/>
      <c r="E63"/>
      <c r="F63" s="6" t="s">
        <v>172</v>
      </c>
      <c r="G63"/>
      <c r="H63"/>
      <c r="I63"/>
      <c r="J63" s="5"/>
      <c r="K63"/>
      <c r="L63"/>
      <c r="M63" s="5"/>
      <c r="N63" s="5"/>
      <c r="O63" s="5"/>
      <c r="P63" s="28"/>
    </row>
    <row r="64" spans="2:22" ht="60" customHeight="1" x14ac:dyDescent="0.25">
      <c r="B64" s="99" t="s">
        <v>173</v>
      </c>
      <c r="C64" s="99"/>
      <c r="E64"/>
      <c r="F64"/>
      <c r="G64"/>
      <c r="H64"/>
      <c r="I64"/>
      <c r="J64"/>
      <c r="K64"/>
      <c r="L64"/>
      <c r="N64"/>
      <c r="O64" s="5"/>
      <c r="P64" s="5"/>
    </row>
    <row r="65" spans="2:15" ht="36" x14ac:dyDescent="0.25">
      <c r="B65" s="25" t="s">
        <v>3</v>
      </c>
      <c r="C65" s="25" t="s">
        <v>4</v>
      </c>
      <c r="D65" s="25" t="s">
        <v>5</v>
      </c>
      <c r="E65" s="25" t="s">
        <v>6</v>
      </c>
      <c r="F65" s="25" t="s">
        <v>7</v>
      </c>
      <c r="G65" s="25" t="s">
        <v>8</v>
      </c>
      <c r="H65" s="25" t="s">
        <v>9</v>
      </c>
      <c r="I65" s="25" t="s">
        <v>10</v>
      </c>
      <c r="J65" s="25" t="s">
        <v>11</v>
      </c>
      <c r="K65" s="25" t="s">
        <v>12</v>
      </c>
      <c r="L65" s="25" t="s">
        <v>13</v>
      </c>
      <c r="M65" s="25" t="s">
        <v>14</v>
      </c>
      <c r="N65" s="25" t="s">
        <v>15</v>
      </c>
      <c r="O65" s="25" t="s">
        <v>16</v>
      </c>
    </row>
    <row r="66" spans="2:15" x14ac:dyDescent="0.25">
      <c r="B66" s="15" t="s">
        <v>174</v>
      </c>
      <c r="C66" s="15" t="s">
        <v>174</v>
      </c>
      <c r="D66" s="21" t="s">
        <v>175</v>
      </c>
      <c r="E66" s="22">
        <v>45474</v>
      </c>
      <c r="F66" s="21" t="s">
        <v>176</v>
      </c>
      <c r="G66" s="15"/>
      <c r="H66" s="15"/>
      <c r="I66" s="15"/>
      <c r="J66" s="16">
        <v>16303.68</v>
      </c>
      <c r="K66" s="15"/>
      <c r="L66" s="15"/>
      <c r="M66" s="15"/>
      <c r="N66" s="15"/>
      <c r="O66" s="16">
        <f>J66</f>
        <v>16303.68</v>
      </c>
    </row>
    <row r="67" spans="2:15" x14ac:dyDescent="0.25">
      <c r="B67" s="15" t="s">
        <v>174</v>
      </c>
      <c r="C67" s="15" t="s">
        <v>177</v>
      </c>
      <c r="D67" s="21" t="s">
        <v>175</v>
      </c>
      <c r="E67" s="22">
        <v>45505</v>
      </c>
      <c r="F67" s="21" t="s">
        <v>176</v>
      </c>
      <c r="G67" s="17"/>
      <c r="H67" s="17"/>
      <c r="I67" s="17"/>
      <c r="J67" s="16">
        <v>36603.040000000001</v>
      </c>
      <c r="K67" s="15"/>
      <c r="L67" s="15"/>
      <c r="M67" s="15"/>
      <c r="N67" s="15"/>
      <c r="O67" s="16">
        <f t="shared" ref="O67:O68" si="14">J67</f>
        <v>36603.040000000001</v>
      </c>
    </row>
    <row r="68" spans="2:15" x14ac:dyDescent="0.25">
      <c r="B68" s="15" t="s">
        <v>174</v>
      </c>
      <c r="C68" s="15" t="s">
        <v>177</v>
      </c>
      <c r="D68" s="21" t="s">
        <v>175</v>
      </c>
      <c r="E68" s="22">
        <v>45536</v>
      </c>
      <c r="F68" s="21" t="s">
        <v>176</v>
      </c>
      <c r="G68" s="15"/>
      <c r="H68" s="15"/>
      <c r="I68" s="15"/>
      <c r="J68" s="16">
        <v>12804.48</v>
      </c>
      <c r="K68" s="15"/>
      <c r="L68" s="15"/>
      <c r="M68" s="15"/>
      <c r="N68" s="15"/>
      <c r="O68" s="16">
        <f t="shared" si="14"/>
        <v>12804.48</v>
      </c>
    </row>
    <row r="69" spans="2:15" x14ac:dyDescent="0.25">
      <c r="B69" s="18"/>
      <c r="C69" s="18"/>
      <c r="D69" s="18"/>
      <c r="E69" s="18"/>
      <c r="F69" s="18"/>
      <c r="G69" s="19"/>
      <c r="H69" s="19"/>
      <c r="I69" s="19" t="s">
        <v>170</v>
      </c>
      <c r="J69" s="20">
        <f>SUM(J66:J68)</f>
        <v>65711.199999999997</v>
      </c>
      <c r="K69" s="19"/>
      <c r="L69" s="19"/>
      <c r="M69" s="19"/>
      <c r="N69" s="19"/>
      <c r="O69" s="20">
        <f>SUM(O66:O68)</f>
        <v>65711.199999999997</v>
      </c>
    </row>
    <row r="70" spans="2:15" x14ac:dyDescent="0.25">
      <c r="B70" s="10"/>
      <c r="C70" s="11"/>
      <c r="D70" s="12"/>
      <c r="E70" s="11"/>
      <c r="F70" s="11"/>
    </row>
    <row r="71" spans="2:15" ht="30" customHeight="1" x14ac:dyDescent="0.25">
      <c r="B71" s="97" t="s">
        <v>178</v>
      </c>
      <c r="C71" s="97"/>
      <c r="E71"/>
      <c r="F71"/>
    </row>
    <row r="72" spans="2:15" ht="30" customHeight="1" x14ac:dyDescent="0.25">
      <c r="B72" s="100" t="s">
        <v>196</v>
      </c>
      <c r="C72" s="101"/>
      <c r="D72" s="101"/>
      <c r="E72" s="101"/>
      <c r="F72" s="102"/>
    </row>
    <row r="73" spans="2:15" ht="22.5" x14ac:dyDescent="0.25">
      <c r="B73" s="23" t="s">
        <v>179</v>
      </c>
      <c r="C73" s="23" t="s">
        <v>180</v>
      </c>
      <c r="D73" s="23" t="s">
        <v>177</v>
      </c>
      <c r="E73" s="23" t="s">
        <v>181</v>
      </c>
      <c r="F73" s="23" t="s">
        <v>170</v>
      </c>
    </row>
    <row r="74" spans="2:15" ht="33.75" x14ac:dyDescent="0.25">
      <c r="B74" s="7" t="s">
        <v>182</v>
      </c>
      <c r="C74" s="8">
        <v>800000</v>
      </c>
      <c r="D74" s="8">
        <v>250000</v>
      </c>
      <c r="E74" s="8">
        <v>2200000</v>
      </c>
      <c r="F74" s="8">
        <f>SUM(C74:E74)</f>
        <v>3250000</v>
      </c>
    </row>
    <row r="75" spans="2:15" ht="22.5" x14ac:dyDescent="0.25">
      <c r="B75" s="7" t="s">
        <v>183</v>
      </c>
      <c r="C75" s="8">
        <v>600000</v>
      </c>
      <c r="D75" s="8">
        <v>250000</v>
      </c>
      <c r="E75" s="8">
        <v>1650000</v>
      </c>
      <c r="F75" s="8">
        <f t="shared" ref="F75:F80" si="15">SUM(C75:E75)</f>
        <v>2500000</v>
      </c>
    </row>
    <row r="76" spans="2:15" ht="22.5" x14ac:dyDescent="0.25">
      <c r="B76" s="7" t="s">
        <v>184</v>
      </c>
      <c r="C76" s="8">
        <v>5196.57</v>
      </c>
      <c r="D76" s="9">
        <v>65711.199999999997</v>
      </c>
      <c r="E76" s="8">
        <v>810218.26</v>
      </c>
      <c r="F76" s="8">
        <f t="shared" si="15"/>
        <v>881126.03</v>
      </c>
    </row>
    <row r="77" spans="2:15" ht="22.5" x14ac:dyDescent="0.25">
      <c r="B77" s="7" t="s">
        <v>185</v>
      </c>
      <c r="C77" s="8">
        <f>229670.99+C76</f>
        <v>234867.56</v>
      </c>
      <c r="D77" s="9">
        <f>78725.6+D76</f>
        <v>144436.79999999999</v>
      </c>
      <c r="E77" s="8">
        <f>625927.36+E76</f>
        <v>1436145.62</v>
      </c>
      <c r="F77" s="8">
        <f>SUM(C77:E77)</f>
        <v>1815449.98</v>
      </c>
    </row>
    <row r="78" spans="2:15" ht="22.5" x14ac:dyDescent="0.25">
      <c r="B78" s="7" t="s">
        <v>186</v>
      </c>
      <c r="C78" s="8">
        <f>C74-C75</f>
        <v>200000</v>
      </c>
      <c r="D78" s="8">
        <f>D74-D75</f>
        <v>0</v>
      </c>
      <c r="E78" s="8">
        <f>E74-E75</f>
        <v>550000</v>
      </c>
      <c r="F78" s="8">
        <f t="shared" si="15"/>
        <v>750000</v>
      </c>
    </row>
    <row r="79" spans="2:15" ht="22.5" x14ac:dyDescent="0.25">
      <c r="B79" s="7" t="s">
        <v>187</v>
      </c>
      <c r="C79" s="8">
        <f>C75-C77</f>
        <v>365132.44</v>
      </c>
      <c r="D79" s="8">
        <f t="shared" ref="D79:E79" si="16">D75-D77</f>
        <v>105563.20000000001</v>
      </c>
      <c r="E79" s="8">
        <f t="shared" si="16"/>
        <v>213854.37999999989</v>
      </c>
      <c r="F79" s="8">
        <f t="shared" si="15"/>
        <v>684550.0199999999</v>
      </c>
    </row>
    <row r="80" spans="2:15" ht="33.75" x14ac:dyDescent="0.25">
      <c r="B80" s="7" t="s">
        <v>188</v>
      </c>
      <c r="C80" s="8">
        <v>0</v>
      </c>
      <c r="D80" s="8">
        <v>14882.88</v>
      </c>
      <c r="E80" s="8">
        <v>0</v>
      </c>
      <c r="F80" s="8">
        <f t="shared" si="15"/>
        <v>14882.88</v>
      </c>
    </row>
    <row r="81" spans="2:6" ht="22.5" x14ac:dyDescent="0.25">
      <c r="B81" s="7" t="s">
        <v>189</v>
      </c>
      <c r="C81" s="13">
        <f>C77+C80</f>
        <v>234867.56</v>
      </c>
      <c r="D81" s="13">
        <f t="shared" ref="D81" si="17">D77+D80</f>
        <v>159319.67999999999</v>
      </c>
      <c r="E81" s="13">
        <f>E77+E80</f>
        <v>1436145.62</v>
      </c>
      <c r="F81" s="8">
        <f>C81+D81+E81</f>
        <v>1830332.86</v>
      </c>
    </row>
  </sheetData>
  <mergeCells count="5">
    <mergeCell ref="B2:C2"/>
    <mergeCell ref="B4:C4"/>
    <mergeCell ref="B64:C64"/>
    <mergeCell ref="B71:C71"/>
    <mergeCell ref="B72:F72"/>
  </mergeCells>
  <phoneticPr fontId="11" type="noConversion"/>
  <pageMargins left="0.511811024" right="0.511811024" top="0.78740157499999996" bottom="0.78740157499999996" header="0.31496062000000002" footer="0.31496062000000002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6223-BD71-46C2-B815-0A5C0E3E41A2}">
  <sheetPr>
    <pageSetUpPr fitToPage="1"/>
  </sheetPr>
  <dimension ref="B1:P13"/>
  <sheetViews>
    <sheetView workbookViewId="0">
      <selection activeCell="B3" sqref="B3:F12"/>
    </sheetView>
  </sheetViews>
  <sheetFormatPr defaultRowHeight="15" x14ac:dyDescent="0.25"/>
  <cols>
    <col min="1" max="1" width="4.85546875" customWidth="1"/>
    <col min="2" max="2" width="24.42578125" style="3" customWidth="1"/>
    <col min="3" max="3" width="16" style="3" customWidth="1"/>
    <col min="4" max="4" width="13.140625" customWidth="1"/>
    <col min="5" max="5" width="13.7109375" style="3" customWidth="1"/>
    <col min="6" max="6" width="13.140625" style="3" customWidth="1"/>
    <col min="7" max="7" width="15.28515625" style="3" customWidth="1"/>
    <col min="8" max="9" width="8.7109375" style="3" customWidth="1"/>
    <col min="10" max="10" width="10" style="3" customWidth="1"/>
    <col min="11" max="11" width="9.42578125" style="3" customWidth="1"/>
    <col min="12" max="12" width="8.7109375" style="3" customWidth="1"/>
    <col min="13" max="13" width="8" style="3" customWidth="1"/>
    <col min="14" max="14" width="9.7109375" customWidth="1"/>
    <col min="15" max="16" width="11.5703125" style="3" customWidth="1"/>
    <col min="17" max="17" width="17.85546875" customWidth="1"/>
  </cols>
  <sheetData>
    <row r="1" spans="2:6" x14ac:dyDescent="0.25">
      <c r="B1" s="2" t="s">
        <v>0</v>
      </c>
    </row>
    <row r="2" spans="2:6" ht="36.75" customHeight="1" x14ac:dyDescent="0.25">
      <c r="B2" s="2" t="s">
        <v>178</v>
      </c>
      <c r="C2"/>
      <c r="E2"/>
      <c r="F2"/>
    </row>
    <row r="3" spans="2:6" ht="28.5" customHeight="1" x14ac:dyDescent="0.25">
      <c r="B3" s="103" t="s">
        <v>190</v>
      </c>
      <c r="C3" s="103"/>
      <c r="E3"/>
      <c r="F3"/>
    </row>
    <row r="4" spans="2:6" ht="35.25" customHeight="1" x14ac:dyDescent="0.25">
      <c r="B4" s="14" t="s">
        <v>179</v>
      </c>
      <c r="C4" s="14" t="s">
        <v>180</v>
      </c>
      <c r="D4" s="14" t="s">
        <v>177</v>
      </c>
      <c r="E4" s="14" t="s">
        <v>181</v>
      </c>
      <c r="F4" s="14" t="s">
        <v>170</v>
      </c>
    </row>
    <row r="5" spans="2:6" ht="21.75" customHeight="1" x14ac:dyDescent="0.25">
      <c r="B5" s="7" t="s">
        <v>191</v>
      </c>
      <c r="C5" s="8">
        <v>432000</v>
      </c>
      <c r="D5" s="8">
        <v>250000</v>
      </c>
      <c r="E5" s="8">
        <v>1118000</v>
      </c>
      <c r="F5" s="8">
        <f>SUM(C5:E5)</f>
        <v>1800000</v>
      </c>
    </row>
    <row r="6" spans="2:6" ht="22.5" customHeight="1" x14ac:dyDescent="0.25">
      <c r="B6" s="7" t="s">
        <v>183</v>
      </c>
      <c r="C6" s="8">
        <v>432000</v>
      </c>
      <c r="D6" s="8">
        <v>250000</v>
      </c>
      <c r="E6" s="8">
        <v>1118000</v>
      </c>
      <c r="F6" s="8">
        <f t="shared" ref="F6:F11" si="0">SUM(C6:E6)</f>
        <v>1800000</v>
      </c>
    </row>
    <row r="7" spans="2:6" ht="23.25" customHeight="1" x14ac:dyDescent="0.25">
      <c r="B7" s="7" t="s">
        <v>184</v>
      </c>
      <c r="C7" s="8">
        <v>3462.69</v>
      </c>
      <c r="D7" s="9">
        <v>19528</v>
      </c>
      <c r="E7" s="8">
        <v>0</v>
      </c>
      <c r="F7" s="8">
        <f t="shared" si="0"/>
        <v>22990.69</v>
      </c>
    </row>
    <row r="8" spans="2:6" ht="16.5" customHeight="1" x14ac:dyDescent="0.25">
      <c r="B8" s="7" t="s">
        <v>185</v>
      </c>
      <c r="C8" s="8">
        <v>3462</v>
      </c>
      <c r="D8" s="8">
        <v>19528</v>
      </c>
      <c r="E8" s="8">
        <v>0</v>
      </c>
      <c r="F8" s="8">
        <f>SUM(C8:E8)</f>
        <v>22990</v>
      </c>
    </row>
    <row r="9" spans="2:6" ht="20.25" customHeight="1" x14ac:dyDescent="0.25">
      <c r="B9" s="7" t="s">
        <v>192</v>
      </c>
      <c r="C9" s="8">
        <v>0</v>
      </c>
      <c r="D9" s="8">
        <v>0</v>
      </c>
      <c r="E9" s="8">
        <v>0</v>
      </c>
      <c r="F9" s="8">
        <f t="shared" si="0"/>
        <v>0</v>
      </c>
    </row>
    <row r="10" spans="2:6" ht="24" customHeight="1" x14ac:dyDescent="0.25">
      <c r="B10" s="7" t="s">
        <v>193</v>
      </c>
      <c r="C10" s="8">
        <v>428537.31</v>
      </c>
      <c r="D10" s="8">
        <v>230472</v>
      </c>
      <c r="E10" s="8">
        <v>1118000</v>
      </c>
      <c r="F10" s="8">
        <f t="shared" si="0"/>
        <v>1777009.31</v>
      </c>
    </row>
    <row r="11" spans="2:6" ht="21" customHeight="1" x14ac:dyDescent="0.25">
      <c r="B11" s="7" t="s">
        <v>194</v>
      </c>
      <c r="C11" s="8">
        <v>121891.32</v>
      </c>
      <c r="D11" s="8">
        <v>8334.8799999999992</v>
      </c>
      <c r="E11" s="8">
        <v>28921.8</v>
      </c>
      <c r="F11" s="8">
        <f t="shared" si="0"/>
        <v>159148</v>
      </c>
    </row>
    <row r="12" spans="2:6" ht="26.25" customHeight="1" x14ac:dyDescent="0.25">
      <c r="B12" s="7" t="s">
        <v>195</v>
      </c>
      <c r="C12" s="13">
        <f>C7+C11</f>
        <v>125354.01000000001</v>
      </c>
      <c r="D12" s="8">
        <v>27862.880000000001</v>
      </c>
      <c r="E12" s="8">
        <f>E7+E11</f>
        <v>28921.8</v>
      </c>
      <c r="F12" s="8">
        <f>C12+D12+E12</f>
        <v>182138.69</v>
      </c>
    </row>
    <row r="13" spans="2:6" x14ac:dyDescent="0.25">
      <c r="B13" s="10"/>
      <c r="C13" s="11"/>
      <c r="D13" s="12"/>
      <c r="E13" s="11"/>
      <c r="F13" s="11"/>
    </row>
  </sheetData>
  <mergeCells count="1">
    <mergeCell ref="B3:C3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 xmlns="306c6372-641f-4f58-b0c9-9b714448f1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EC7224CD7C434B8DA1BB4287D8EDD6" ma:contentTypeVersion="14" ma:contentTypeDescription="Crie um novo documento." ma:contentTypeScope="" ma:versionID="2589d6f00092f3048190164f4631a966">
  <xsd:schema xmlns:xsd="http://www.w3.org/2001/XMLSchema" xmlns:xs="http://www.w3.org/2001/XMLSchema" xmlns:p="http://schemas.microsoft.com/office/2006/metadata/properties" xmlns:ns2="306c6372-641f-4f58-b0c9-9b714448f138" xmlns:ns3="25522c09-5c4f-44a0-aaee-d1c4880bf795" targetNamespace="http://schemas.microsoft.com/office/2006/metadata/properties" ma:root="true" ma:fieldsID="791906f34d7725ed39ca951c95aa0de8" ns2:_="" ns3:_="">
    <xsd:import namespace="306c6372-641f-4f58-b0c9-9b714448f138"/>
    <xsd:import namespace="25522c09-5c4f-44a0-aaee-d1c4880bf7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c6372-641f-4f58-b0c9-9b714448f1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Data" ma:index="11" nillable="true" ma:displayName="Data" ma:format="DateOnly" ma:internalName="Data">
      <xsd:simpleType>
        <xsd:restriction base="dms:DateTim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22c09-5c4f-44a0-aaee-d1c4880bf7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053B20-ED0F-41D1-B867-4D30BAA76FDB}">
  <ds:schemaRefs>
    <ds:schemaRef ds:uri="http://schemas.microsoft.com/office/2006/metadata/properties"/>
    <ds:schemaRef ds:uri="http://schemas.microsoft.com/office/infopath/2007/PartnerControls"/>
    <ds:schemaRef ds:uri="306c6372-641f-4f58-b0c9-9b714448f138"/>
  </ds:schemaRefs>
</ds:datastoreItem>
</file>

<file path=customXml/itemProps2.xml><?xml version="1.0" encoding="utf-8"?>
<ds:datastoreItem xmlns:ds="http://schemas.openxmlformats.org/officeDocument/2006/customXml" ds:itemID="{D2957D1C-9F19-488C-9F8B-286070D65D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2E7CB7-2B61-4A1F-96D6-0BE5192318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c6372-641f-4f58-b0c9-9b714448f138"/>
    <ds:schemaRef ds:uri="25522c09-5c4f-44a0-aaee-d1c4880bf7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KLIMT E DODF -ANEXO I</vt:lpstr>
      <vt:lpstr> RESUMO - ANEXO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Mariana Franke Viegas</dc:creator>
  <cp:keywords/>
  <dc:description/>
  <cp:lastModifiedBy>Claudia Maria Macedo Holanda da Silva</cp:lastModifiedBy>
  <cp:revision/>
  <dcterms:created xsi:type="dcterms:W3CDTF">2020-01-14T19:59:01Z</dcterms:created>
  <dcterms:modified xsi:type="dcterms:W3CDTF">2024-10-17T12:30:16Z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0x01010049EC7224CD7C434B8DA1BB4287D8EDD6</vt:lpwstr>
  </property>
</Properties>
</file>