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adasa4.sharepoint.com/sites/SEF/COEE IRT  RTP/RTA/RTA 2023/"/>
    </mc:Choice>
  </mc:AlternateContent>
  <xr:revisionPtr revIDLastSave="3683" documentId="8_{B360E6BF-7B4A-492F-BB0F-ABAD0B408FCD}" xr6:coauthVersionLast="47" xr6:coauthVersionMax="47" xr10:uidLastSave="{466F2D72-ED7B-4ADB-BD57-8D57CEC022A2}"/>
  <bookViews>
    <workbookView minimized="1" xWindow="2670" yWindow="1035" windowWidth="24780" windowHeight="11295" tabRatio="953" firstSheet="11" activeTab="11" xr2:uid="{00000000-000D-0000-FFFF-FFFF00000000}"/>
  </bookViews>
  <sheets>
    <sheet name="Fórmulas" sheetId="30" r:id="rId1"/>
    <sheet name="Parâmetros" sheetId="32" r:id="rId2"/>
    <sheet name="Índices_2022" sheetId="35" r:id="rId3"/>
    <sheet name="Índices_2022 - Gráfico" sheetId="34" r:id="rId4"/>
    <sheet name="Bônus-Desconto" sheetId="36" r:id="rId5"/>
    <sheet name="Bônus-Desconto - Gráfico" sheetId="37" r:id="rId6"/>
    <sheet name="Volume_2022" sheetId="4" r:id="rId7"/>
    <sheet name="VPA 2023" sheetId="13" r:id="rId8"/>
    <sheet name="VPB 2023" sheetId="41" r:id="rId9"/>
    <sheet name="VPB 2023 - Gráficos" sheetId="14" r:id="rId10"/>
    <sheet name="CF - 2023" sheetId="39" r:id="rId11"/>
    <sheet name="RTA 2023" sheetId="15" r:id="rId12"/>
    <sheet name="Tarifas 2023" sheetId="44" r:id="rId13"/>
    <sheet name="RTP 2020" sheetId="27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R57_2007" localSheetId="13">[1]Parâmetros!#REF!</definedName>
    <definedName name="_R57_2007">[1]Parâmetros!#REF!</definedName>
    <definedName name="AdicionalIR" localSheetId="13">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 localSheetId="11">'RTA 2023'!$AI$26:$AK$26</definedName>
    <definedName name="_xlnm.Print_Area" localSheetId="13">#REF!</definedName>
    <definedName name="_xlnm.Print_Area" localSheetId="12">'Tarifas 2023'!$AE$19:$AG$22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 localSheetId="13">[3]DRE!#REF!</definedName>
    <definedName name="B">[3]DRE!#REF!</definedName>
    <definedName name="BaseIR" localSheetId="13">#REF!</definedName>
    <definedName name="BaseIR">#REF!</definedName>
    <definedName name="Beneficio">'[2]P-Indices'!$D$20</definedName>
    <definedName name="Caixa" localSheetId="13">#REF!</definedName>
    <definedName name="Caixa">#REF!</definedName>
    <definedName name="Capacitação">'[2]P-Indices'!$D$18</definedName>
    <definedName name="CAPM" localSheetId="13">#REF!</definedName>
    <definedName name="CAPM">#REF!</definedName>
    <definedName name="CRA">'[2]C-Teleatendimento'!$D$9</definedName>
    <definedName name="CS_NEG" localSheetId="13">#REF!</definedName>
    <definedName name="CS_NEG">#REF!</definedName>
    <definedName name="CS_PERC" localSheetId="13">#REF!</definedName>
    <definedName name="CS_PERC">#REF!</definedName>
    <definedName name="CTIPO" localSheetId="13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 localSheetId="13">#REF!</definedName>
    <definedName name="G">#REF!</definedName>
    <definedName name="gfhfgh">'[2]E-AdmSist'!$D$44</definedName>
    <definedName name="GR" localSheetId="13">#REF!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 localSheetId="13">#REF!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 localSheetId="13">#REF!</definedName>
    <definedName name="ir_perpetuo">#REF!</definedName>
    <definedName name="Lig_Ativ_Esg">'[2]E-Economias'!$J$39</definedName>
    <definedName name="Ligacoes_Tot">'[2]E-Economias'!$J$26</definedName>
    <definedName name="Lucro" localSheetId="13">#REF!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 localSheetId="13">#REF!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 localSheetId="13">[4]Controle!#REF!</definedName>
    <definedName name="model">[4]Controle!#REF!</definedName>
    <definedName name="moeda" localSheetId="13">#REF!</definedName>
    <definedName name="moeda">#REF!</definedName>
    <definedName name="o">'[5]T-Bonds'!$E$6</definedName>
    <definedName name="oi" localSheetId="13">#REF!</definedName>
    <definedName name="oi">#REF!</definedName>
    <definedName name="Pensao">'[2]P-Indices'!$D$21</definedName>
    <definedName name="PeriodoTaxa" localSheetId="13">#REF!</definedName>
    <definedName name="PeriodoTaxa">#REF!</definedName>
    <definedName name="perpetuo" localSheetId="13">[3]DRE!#REF!</definedName>
    <definedName name="perpetuo">[3]DRE!#REF!</definedName>
    <definedName name="ponderada_abaixo" localSheetId="13">#REF!</definedName>
    <definedName name="ponderada_abaixo">#REF!</definedName>
    <definedName name="ponderada_acima" localSheetId="13">#REF!</definedName>
    <definedName name="ponderada_acima">#REF!</definedName>
    <definedName name="ponderada_simples" localSheetId="13">#REF!</definedName>
    <definedName name="ponderada_simples">#REF!</definedName>
    <definedName name="PREJFISC_ACUM" localSheetId="13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 localSheetId="13">[4]BETA!#REF!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 localSheetId="13">#REF!</definedName>
    <definedName name="TaxaDesconto">#REF!</definedName>
    <definedName name="_xlnm.Print_Titles" localSheetId="13">#REF!</definedName>
    <definedName name="_xlnm.Print_Titles">#REF!</definedName>
    <definedName name="TMA">'[2]E-Estrutura'!$D$457</definedName>
    <definedName name="Tx_Desc" localSheetId="13">[3]DRE!#REF!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4" l="1"/>
  <c r="D25" i="15" l="1"/>
  <c r="C26" i="41" l="1"/>
  <c r="C27" i="41"/>
  <c r="E23" i="15" l="1"/>
  <c r="E21" i="15"/>
  <c r="E20" i="15"/>
  <c r="D24" i="15"/>
  <c r="D23" i="15"/>
  <c r="D22" i="15"/>
  <c r="D21" i="15"/>
  <c r="D20" i="15"/>
  <c r="C23" i="41"/>
  <c r="C30" i="13" l="1"/>
  <c r="E18" i="41" l="1"/>
  <c r="E13" i="15" l="1"/>
  <c r="G16" i="41" l="1"/>
  <c r="G11" i="41"/>
  <c r="E11" i="41"/>
  <c r="K15" i="36"/>
  <c r="K13" i="36"/>
  <c r="K11" i="36"/>
  <c r="H49" i="35"/>
  <c r="H47" i="35"/>
  <c r="E23" i="35"/>
  <c r="F92" i="4" l="1"/>
  <c r="H13" i="39" l="1"/>
  <c r="F17" i="39"/>
  <c r="F40" i="35" l="1"/>
  <c r="G40" i="35"/>
  <c r="G47" i="35" l="1"/>
  <c r="F47" i="35"/>
  <c r="E45" i="27" l="1"/>
  <c r="D20" i="39" l="1"/>
  <c r="N72" i="4" l="1"/>
  <c r="M84" i="4"/>
  <c r="L72" i="4"/>
  <c r="J84" i="4"/>
  <c r="J78" i="4"/>
  <c r="G72" i="4"/>
  <c r="F65" i="4"/>
  <c r="E78" i="4"/>
  <c r="E65" i="4"/>
  <c r="O65" i="4"/>
  <c r="O72" i="4"/>
  <c r="N78" i="4"/>
  <c r="O84" i="4"/>
  <c r="J72" i="4" l="1"/>
  <c r="E72" i="4"/>
  <c r="E84" i="4"/>
  <c r="F84" i="4"/>
  <c r="I72" i="4"/>
  <c r="I84" i="4"/>
  <c r="K65" i="4"/>
  <c r="M72" i="4"/>
  <c r="N65" i="4"/>
  <c r="N84" i="4"/>
  <c r="O78" i="4"/>
  <c r="M65" i="4"/>
  <c r="F72" i="4"/>
  <c r="F78" i="4"/>
  <c r="H72" i="4"/>
  <c r="H84" i="4"/>
  <c r="I65" i="4"/>
  <c r="I78" i="4"/>
  <c r="G65" i="4"/>
  <c r="G84" i="4"/>
  <c r="H65" i="4"/>
  <c r="H78" i="4"/>
  <c r="K72" i="4"/>
  <c r="K78" i="4"/>
  <c r="K84" i="4"/>
  <c r="L65" i="4"/>
  <c r="L78" i="4"/>
  <c r="G78" i="4"/>
  <c r="J65" i="4"/>
  <c r="M78" i="4"/>
  <c r="L84" i="4"/>
  <c r="O31" i="4"/>
  <c r="M37" i="4"/>
  <c r="L43" i="4"/>
  <c r="K49" i="4"/>
  <c r="J24" i="4"/>
  <c r="I24" i="4"/>
  <c r="H43" i="4"/>
  <c r="G49" i="4"/>
  <c r="G31" i="4"/>
  <c r="E49" i="4"/>
  <c r="M31" i="4"/>
  <c r="O37" i="4"/>
  <c r="H31" i="4" l="1"/>
  <c r="H49" i="4"/>
  <c r="G24" i="4"/>
  <c r="L31" i="4"/>
  <c r="M24" i="4"/>
  <c r="N37" i="4"/>
  <c r="E31" i="4"/>
  <c r="F31" i="4"/>
  <c r="F49" i="4"/>
  <c r="G37" i="4"/>
  <c r="H24" i="4"/>
  <c r="H37" i="4"/>
  <c r="J31" i="4"/>
  <c r="L24" i="4"/>
  <c r="L37" i="4"/>
  <c r="L49" i="4"/>
  <c r="M43" i="4"/>
  <c r="N43" i="4"/>
  <c r="E37" i="4"/>
  <c r="I37" i="4"/>
  <c r="I43" i="4"/>
  <c r="J37" i="4"/>
  <c r="K31" i="4"/>
  <c r="O49" i="4"/>
  <c r="F24" i="4"/>
  <c r="F37" i="4"/>
  <c r="F43" i="4"/>
  <c r="J43" i="4"/>
  <c r="N24" i="4"/>
  <c r="N31" i="4"/>
  <c r="N49" i="4"/>
  <c r="E24" i="4"/>
  <c r="E43" i="4"/>
  <c r="G43" i="4"/>
  <c r="I31" i="4"/>
  <c r="I49" i="4"/>
  <c r="J49" i="4"/>
  <c r="K24" i="4"/>
  <c r="K37" i="4"/>
  <c r="K43" i="4"/>
  <c r="M49" i="4"/>
  <c r="M50" i="4" s="1"/>
  <c r="O24" i="4"/>
  <c r="O43" i="4"/>
  <c r="F17" i="36"/>
  <c r="N50" i="4" l="1"/>
  <c r="I50" i="4"/>
  <c r="O50" i="4"/>
  <c r="K50" i="4"/>
  <c r="L50" i="4"/>
  <c r="H50" i="4"/>
  <c r="G50" i="4"/>
  <c r="J50" i="4"/>
  <c r="F50" i="4"/>
  <c r="E50" i="4"/>
  <c r="B26" i="36"/>
  <c r="E28" i="35" l="1"/>
  <c r="E29" i="35"/>
  <c r="E30" i="35" s="1"/>
  <c r="E31" i="35" s="1"/>
  <c r="E32" i="35" s="1"/>
  <c r="E33" i="35" s="1"/>
  <c r="E34" i="35" s="1"/>
  <c r="E35" i="35" s="1"/>
  <c r="E36" i="35" s="1"/>
  <c r="E37" i="35" s="1"/>
  <c r="E38" i="35" s="1"/>
  <c r="E39" i="35" s="1"/>
  <c r="D16" i="41" l="1"/>
  <c r="E15" i="41" l="1"/>
  <c r="F23" i="35" l="1"/>
  <c r="F15" i="41" l="1"/>
  <c r="P85" i="4" l="1"/>
  <c r="P89" i="4"/>
  <c r="P86" i="4"/>
  <c r="P75" i="4"/>
  <c r="P76" i="4"/>
  <c r="P77" i="4"/>
  <c r="P67" i="4"/>
  <c r="P68" i="4"/>
  <c r="P70" i="4"/>
  <c r="P66" i="4"/>
  <c r="P73" i="4" l="1"/>
  <c r="P83" i="4"/>
  <c r="P69" i="4"/>
  <c r="P71" i="4"/>
  <c r="P82" i="4"/>
  <c r="P74" i="4"/>
  <c r="P88" i="4"/>
  <c r="P79" i="4"/>
  <c r="P80" i="4"/>
  <c r="P87" i="4"/>
  <c r="P81" i="4"/>
  <c r="P52" i="4"/>
  <c r="P51" i="4"/>
  <c r="D49" i="4"/>
  <c r="F41" i="36" l="1"/>
  <c r="F42" i="36"/>
  <c r="F43" i="36"/>
  <c r="F44" i="36"/>
  <c r="F45" i="36"/>
  <c r="F46" i="36"/>
  <c r="F47" i="36"/>
  <c r="F48" i="36"/>
  <c r="F49" i="36"/>
  <c r="F50" i="36"/>
  <c r="F51" i="36"/>
  <c r="F52" i="36"/>
  <c r="D40" i="35" l="1"/>
  <c r="G48" i="35" s="1"/>
  <c r="C40" i="35"/>
  <c r="F48" i="35" s="1"/>
  <c r="H48" i="35" l="1"/>
  <c r="F12" i="41" l="1"/>
  <c r="N91" i="4"/>
  <c r="O91" i="4"/>
  <c r="P48" i="4"/>
  <c r="P10" i="4"/>
  <c r="P11" i="4"/>
  <c r="O53" i="4" l="1"/>
  <c r="D14" i="39"/>
  <c r="D13" i="39"/>
  <c r="P12" i="4" l="1"/>
  <c r="F31" i="39" l="1"/>
  <c r="E20" i="39"/>
  <c r="F20" i="39"/>
  <c r="G20" i="39"/>
  <c r="H20" i="39"/>
  <c r="I20" i="39"/>
  <c r="J20" i="39"/>
  <c r="K20" i="39"/>
  <c r="L20" i="39"/>
  <c r="M20" i="39"/>
  <c r="N20" i="39"/>
  <c r="O20" i="39"/>
  <c r="E13" i="39"/>
  <c r="F13" i="39"/>
  <c r="G13" i="39"/>
  <c r="I13" i="39"/>
  <c r="J13" i="39"/>
  <c r="K13" i="39"/>
  <c r="L13" i="39"/>
  <c r="M13" i="39"/>
  <c r="N13" i="39"/>
  <c r="O13" i="39"/>
  <c r="E14" i="39"/>
  <c r="F14" i="39"/>
  <c r="G14" i="39"/>
  <c r="H14" i="39"/>
  <c r="I14" i="39"/>
  <c r="J14" i="39"/>
  <c r="K14" i="39"/>
  <c r="L14" i="39"/>
  <c r="M14" i="39"/>
  <c r="N14" i="39"/>
  <c r="O14" i="39"/>
  <c r="C20" i="13"/>
  <c r="C19" i="13"/>
  <c r="D124" i="4"/>
  <c r="E124" i="4"/>
  <c r="F124" i="4"/>
  <c r="G124" i="4"/>
  <c r="H124" i="4"/>
  <c r="I124" i="4"/>
  <c r="J124" i="4"/>
  <c r="K124" i="4"/>
  <c r="L124" i="4"/>
  <c r="M124" i="4"/>
  <c r="N124" i="4"/>
  <c r="O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E123" i="4"/>
  <c r="F123" i="4"/>
  <c r="G123" i="4"/>
  <c r="H123" i="4"/>
  <c r="I123" i="4"/>
  <c r="J123" i="4"/>
  <c r="K123" i="4"/>
  <c r="L123" i="4"/>
  <c r="M123" i="4"/>
  <c r="N123" i="4"/>
  <c r="O123" i="4"/>
  <c r="D123" i="4"/>
  <c r="O121" i="4"/>
  <c r="N121" i="4"/>
  <c r="M121" i="4"/>
  <c r="O120" i="4"/>
  <c r="N120" i="4"/>
  <c r="M120" i="4"/>
  <c r="O119" i="4"/>
  <c r="N119" i="4"/>
  <c r="M119" i="4"/>
  <c r="O118" i="4"/>
  <c r="N118" i="4"/>
  <c r="M118" i="4"/>
  <c r="N117" i="4"/>
  <c r="O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21" i="4"/>
  <c r="E121" i="4"/>
  <c r="F121" i="4"/>
  <c r="G121" i="4"/>
  <c r="H121" i="4"/>
  <c r="I121" i="4"/>
  <c r="J121" i="4"/>
  <c r="K121" i="4"/>
  <c r="L121" i="4"/>
  <c r="D117" i="4"/>
  <c r="D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E111" i="4"/>
  <c r="F111" i="4"/>
  <c r="G111" i="4"/>
  <c r="H111" i="4"/>
  <c r="I111" i="4"/>
  <c r="J111" i="4"/>
  <c r="K111" i="4"/>
  <c r="L111" i="4"/>
  <c r="M111" i="4"/>
  <c r="N111" i="4"/>
  <c r="O111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E104" i="4"/>
  <c r="F104" i="4"/>
  <c r="G104" i="4"/>
  <c r="H104" i="4"/>
  <c r="I104" i="4"/>
  <c r="J104" i="4"/>
  <c r="K104" i="4"/>
  <c r="L104" i="4"/>
  <c r="M104" i="4"/>
  <c r="N104" i="4"/>
  <c r="O104" i="4"/>
  <c r="D104" i="4"/>
  <c r="E98" i="4"/>
  <c r="F98" i="4"/>
  <c r="G98" i="4"/>
  <c r="H98" i="4"/>
  <c r="I98" i="4"/>
  <c r="J98" i="4"/>
  <c r="K98" i="4"/>
  <c r="L98" i="4"/>
  <c r="M98" i="4"/>
  <c r="N98" i="4"/>
  <c r="O98" i="4"/>
  <c r="E99" i="4"/>
  <c r="F99" i="4"/>
  <c r="G99" i="4"/>
  <c r="H99" i="4"/>
  <c r="I99" i="4"/>
  <c r="J99" i="4"/>
  <c r="K99" i="4"/>
  <c r="L99" i="4"/>
  <c r="M99" i="4"/>
  <c r="N99" i="4"/>
  <c r="O99" i="4"/>
  <c r="E100" i="4"/>
  <c r="F100" i="4"/>
  <c r="G100" i="4"/>
  <c r="H100" i="4"/>
  <c r="I100" i="4"/>
  <c r="J100" i="4"/>
  <c r="K100" i="4"/>
  <c r="L100" i="4"/>
  <c r="M100" i="4"/>
  <c r="N100" i="4"/>
  <c r="O100" i="4"/>
  <c r="E101" i="4"/>
  <c r="F101" i="4"/>
  <c r="G101" i="4"/>
  <c r="H101" i="4"/>
  <c r="I101" i="4"/>
  <c r="J101" i="4"/>
  <c r="K101" i="4"/>
  <c r="L101" i="4"/>
  <c r="M101" i="4"/>
  <c r="N101" i="4"/>
  <c r="O101" i="4"/>
  <c r="E102" i="4"/>
  <c r="F102" i="4"/>
  <c r="G102" i="4"/>
  <c r="H102" i="4"/>
  <c r="I102" i="4"/>
  <c r="J102" i="4"/>
  <c r="K102" i="4"/>
  <c r="L102" i="4"/>
  <c r="M102" i="4"/>
  <c r="N102" i="4"/>
  <c r="O102" i="4"/>
  <c r="N97" i="4"/>
  <c r="E97" i="4"/>
  <c r="F97" i="4"/>
  <c r="G97" i="4"/>
  <c r="H97" i="4"/>
  <c r="I97" i="4"/>
  <c r="J97" i="4"/>
  <c r="K97" i="4"/>
  <c r="L97" i="4"/>
  <c r="M97" i="4"/>
  <c r="O97" i="4"/>
  <c r="D98" i="4"/>
  <c r="D99" i="4"/>
  <c r="D100" i="4"/>
  <c r="D101" i="4"/>
  <c r="D102" i="4"/>
  <c r="D97" i="4"/>
  <c r="N53" i="4"/>
  <c r="M53" i="4"/>
  <c r="P47" i="4"/>
  <c r="P46" i="4"/>
  <c r="P45" i="4"/>
  <c r="P44" i="4"/>
  <c r="P39" i="4"/>
  <c r="P40" i="4"/>
  <c r="P41" i="4"/>
  <c r="P42" i="4"/>
  <c r="P38" i="4"/>
  <c r="P32" i="4"/>
  <c r="P33" i="4"/>
  <c r="P34" i="4"/>
  <c r="P35" i="4"/>
  <c r="P36" i="4"/>
  <c r="P30" i="4"/>
  <c r="D43" i="4"/>
  <c r="P26" i="4"/>
  <c r="P27" i="4"/>
  <c r="P28" i="4"/>
  <c r="P29" i="4"/>
  <c r="P25" i="4"/>
  <c r="P19" i="4"/>
  <c r="P20" i="4"/>
  <c r="P21" i="4"/>
  <c r="P22" i="4"/>
  <c r="P23" i="4"/>
  <c r="P18" i="4"/>
  <c r="D24" i="4"/>
  <c r="N92" i="4" l="1"/>
  <c r="N17" i="39" s="1"/>
  <c r="J15" i="39"/>
  <c r="I15" i="39"/>
  <c r="P12" i="39"/>
  <c r="O128" i="4"/>
  <c r="M54" i="4"/>
  <c r="O54" i="4"/>
  <c r="N54" i="4"/>
  <c r="O92" i="4"/>
  <c r="O17" i="39" s="1"/>
  <c r="N128" i="4"/>
  <c r="O103" i="4"/>
  <c r="M128" i="4"/>
  <c r="P43" i="4"/>
  <c r="C21" i="13"/>
  <c r="L15" i="39"/>
  <c r="H15" i="39"/>
  <c r="O15" i="39"/>
  <c r="G15" i="39"/>
  <c r="M15" i="39"/>
  <c r="N116" i="4"/>
  <c r="E15" i="39"/>
  <c r="K15" i="39"/>
  <c r="N15" i="39"/>
  <c r="F15" i="39"/>
  <c r="P14" i="39" s="1"/>
  <c r="O122" i="4"/>
  <c r="N103" i="4"/>
  <c r="N122" i="4"/>
  <c r="O116" i="4"/>
  <c r="M103" i="4"/>
  <c r="P24" i="4"/>
  <c r="P13" i="39"/>
  <c r="O110" i="4"/>
  <c r="N110" i="4"/>
  <c r="N130" i="4" l="1"/>
  <c r="O130" i="4"/>
  <c r="N129" i="4"/>
  <c r="O129" i="4"/>
  <c r="E41" i="39"/>
  <c r="P15" i="39"/>
  <c r="N16" i="39"/>
  <c r="N18" i="39" s="1"/>
  <c r="N19" i="39" s="1"/>
  <c r="M16" i="39"/>
  <c r="O16" i="39"/>
  <c r="O18" i="39" s="1"/>
  <c r="O19" i="39" s="1"/>
  <c r="O22" i="39" s="1"/>
  <c r="O21" i="39" l="1"/>
  <c r="N21" i="39"/>
  <c r="E42" i="39"/>
  <c r="N23" i="39"/>
  <c r="O23" i="39"/>
  <c r="N22" i="39" l="1"/>
  <c r="N24" i="39" s="1"/>
  <c r="C41" i="39" s="1"/>
  <c r="O24" i="39"/>
  <c r="C42" i="39" s="1"/>
  <c r="E12" i="4" l="1"/>
  <c r="F12" i="4"/>
  <c r="G12" i="4"/>
  <c r="H12" i="4"/>
  <c r="I12" i="4"/>
  <c r="J12" i="4"/>
  <c r="K12" i="4"/>
  <c r="L12" i="4"/>
  <c r="M12" i="4"/>
  <c r="N12" i="4"/>
  <c r="O12" i="4"/>
  <c r="D12" i="4"/>
  <c r="G23" i="35"/>
  <c r="F11" i="41"/>
  <c r="F13" i="41" l="1"/>
  <c r="F14" i="41"/>
  <c r="E12" i="41"/>
  <c r="G12" i="41" s="1"/>
  <c r="E13" i="41"/>
  <c r="G13" i="41" s="1"/>
  <c r="E14" i="41"/>
  <c r="G15" i="41"/>
  <c r="G14" i="41"/>
  <c r="G17" i="41" l="1"/>
  <c r="C21" i="41" s="1"/>
  <c r="E16" i="41"/>
  <c r="F32" i="39" l="1"/>
  <c r="F33" i="39"/>
  <c r="F34" i="39"/>
  <c r="F35" i="39"/>
  <c r="F36" i="39"/>
  <c r="F37" i="39"/>
  <c r="F38" i="39"/>
  <c r="F39" i="39"/>
  <c r="F40" i="39"/>
  <c r="F41" i="39"/>
  <c r="F42" i="39"/>
  <c r="C11" i="39"/>
  <c r="F67" i="36" l="1"/>
  <c r="F66" i="36"/>
  <c r="F65" i="36"/>
  <c r="F64" i="36"/>
  <c r="F63" i="36"/>
  <c r="F62" i="36"/>
  <c r="F61" i="36"/>
  <c r="F60" i="36"/>
  <c r="F59" i="36"/>
  <c r="F58" i="36"/>
  <c r="F57" i="36"/>
  <c r="F56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D26" i="36"/>
  <c r="D41" i="36" s="1"/>
  <c r="D56" i="36" s="1"/>
  <c r="B41" i="36"/>
  <c r="B56" i="36" s="1"/>
  <c r="F22" i="36"/>
  <c r="F21" i="36"/>
  <c r="F20" i="36"/>
  <c r="F19" i="36"/>
  <c r="F18" i="36"/>
  <c r="F16" i="36"/>
  <c r="F15" i="36"/>
  <c r="F14" i="36"/>
  <c r="F13" i="36"/>
  <c r="F12" i="36"/>
  <c r="D12" i="36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37" i="36" s="1"/>
  <c r="D52" i="36" s="1"/>
  <c r="D67" i="36" s="1"/>
  <c r="B37" i="36"/>
  <c r="B52" i="36" s="1"/>
  <c r="B67" i="36" s="1"/>
  <c r="F11" i="36"/>
  <c r="M11" i="36" l="1"/>
  <c r="M13" i="36" s="1"/>
  <c r="L11" i="36"/>
  <c r="L13" i="36" s="1"/>
  <c r="N11" i="36"/>
  <c r="N13" i="36" s="1"/>
  <c r="B28" i="36"/>
  <c r="B43" i="36" s="1"/>
  <c r="B58" i="36" s="1"/>
  <c r="B29" i="36"/>
  <c r="B44" i="36" s="1"/>
  <c r="B59" i="36" s="1"/>
  <c r="B33" i="36"/>
  <c r="B48" i="36" s="1"/>
  <c r="B63" i="36" s="1"/>
  <c r="B32" i="36"/>
  <c r="B47" i="36" s="1"/>
  <c r="B62" i="36" s="1"/>
  <c r="B30" i="36"/>
  <c r="B45" i="36" s="1"/>
  <c r="B60" i="36" s="1"/>
  <c r="B34" i="36"/>
  <c r="B49" i="36" s="1"/>
  <c r="B64" i="36" s="1"/>
  <c r="D31" i="36"/>
  <c r="D46" i="36" s="1"/>
  <c r="D61" i="36" s="1"/>
  <c r="D29" i="36"/>
  <c r="D44" i="36" s="1"/>
  <c r="D59" i="36" s="1"/>
  <c r="B27" i="36"/>
  <c r="B42" i="36" s="1"/>
  <c r="B57" i="36" s="1"/>
  <c r="D32" i="36"/>
  <c r="D47" i="36" s="1"/>
  <c r="D62" i="36" s="1"/>
  <c r="B35" i="36"/>
  <c r="B50" i="36" s="1"/>
  <c r="B65" i="36" s="1"/>
  <c r="D27" i="36"/>
  <c r="D42" i="36" s="1"/>
  <c r="D57" i="36" s="1"/>
  <c r="D35" i="36"/>
  <c r="D50" i="36" s="1"/>
  <c r="D65" i="36" s="1"/>
  <c r="D30" i="36"/>
  <c r="D45" i="36" s="1"/>
  <c r="D60" i="36" s="1"/>
  <c r="D33" i="36"/>
  <c r="D48" i="36" s="1"/>
  <c r="D63" i="36" s="1"/>
  <c r="B36" i="36"/>
  <c r="B51" i="36" s="1"/>
  <c r="B66" i="36" s="1"/>
  <c r="D28" i="36"/>
  <c r="D43" i="36" s="1"/>
  <c r="D58" i="36" s="1"/>
  <c r="B31" i="36"/>
  <c r="B46" i="36" s="1"/>
  <c r="B61" i="36" s="1"/>
  <c r="D36" i="36"/>
  <c r="D51" i="36" s="1"/>
  <c r="D66" i="36" s="1"/>
  <c r="D34" i="36"/>
  <c r="D49" i="36" s="1"/>
  <c r="D64" i="36" s="1"/>
  <c r="B11" i="35" l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D91" i="4" l="1"/>
  <c r="D84" i="4"/>
  <c r="D78" i="4"/>
  <c r="D72" i="4"/>
  <c r="D65" i="4"/>
  <c r="M117" i="4"/>
  <c r="L117" i="4"/>
  <c r="K117" i="4"/>
  <c r="J117" i="4"/>
  <c r="J122" i="4" s="1"/>
  <c r="I117" i="4"/>
  <c r="H117" i="4"/>
  <c r="G117" i="4"/>
  <c r="F117" i="4"/>
  <c r="E117" i="4"/>
  <c r="M91" i="4"/>
  <c r="L91" i="4"/>
  <c r="K91" i="4"/>
  <c r="J91" i="4"/>
  <c r="I91" i="4"/>
  <c r="H91" i="4"/>
  <c r="G91" i="4"/>
  <c r="F91" i="4"/>
  <c r="E91" i="4"/>
  <c r="P64" i="4"/>
  <c r="P63" i="4"/>
  <c r="P62" i="4"/>
  <c r="P60" i="4"/>
  <c r="P59" i="4"/>
  <c r="O58" i="4"/>
  <c r="N58" i="4"/>
  <c r="M58" i="4"/>
  <c r="L58" i="4"/>
  <c r="K58" i="4"/>
  <c r="J58" i="4"/>
  <c r="I58" i="4"/>
  <c r="H58" i="4"/>
  <c r="G58" i="4"/>
  <c r="F58" i="4"/>
  <c r="E58" i="4"/>
  <c r="D58" i="4"/>
  <c r="L53" i="4"/>
  <c r="K53" i="4"/>
  <c r="J53" i="4"/>
  <c r="J54" i="4" s="1"/>
  <c r="I53" i="4"/>
  <c r="H53" i="4"/>
  <c r="G53" i="4"/>
  <c r="F53" i="4"/>
  <c r="F54" i="4" s="1"/>
  <c r="E53" i="4"/>
  <c r="D53" i="4"/>
  <c r="D37" i="4"/>
  <c r="P37" i="4" s="1"/>
  <c r="D31" i="4"/>
  <c r="G54" i="4" l="1"/>
  <c r="K54" i="4"/>
  <c r="E54" i="4"/>
  <c r="E16" i="39" s="1"/>
  <c r="G92" i="4"/>
  <c r="G17" i="39" s="1"/>
  <c r="I92" i="4"/>
  <c r="I17" i="39" s="1"/>
  <c r="L54" i="4"/>
  <c r="L16" i="39" s="1"/>
  <c r="I54" i="4"/>
  <c r="I16" i="39" s="1"/>
  <c r="H54" i="4"/>
  <c r="H16" i="39" s="1"/>
  <c r="M92" i="4"/>
  <c r="L92" i="4"/>
  <c r="L17" i="39" s="1"/>
  <c r="K92" i="4"/>
  <c r="K17" i="39" s="1"/>
  <c r="J92" i="4"/>
  <c r="J17" i="39" s="1"/>
  <c r="H92" i="4"/>
  <c r="H17" i="39" s="1"/>
  <c r="P78" i="4"/>
  <c r="E92" i="4"/>
  <c r="E17" i="39" s="1"/>
  <c r="P91" i="4"/>
  <c r="G16" i="39"/>
  <c r="K16" i="39"/>
  <c r="P49" i="4"/>
  <c r="J16" i="39"/>
  <c r="P72" i="4"/>
  <c r="P84" i="4"/>
  <c r="P65" i="4"/>
  <c r="D92" i="4"/>
  <c r="P61" i="4"/>
  <c r="F16" i="39"/>
  <c r="P53" i="4"/>
  <c r="P31" i="4"/>
  <c r="D54" i="4"/>
  <c r="M116" i="4"/>
  <c r="E110" i="4"/>
  <c r="L103" i="4"/>
  <c r="K116" i="4"/>
  <c r="J103" i="4"/>
  <c r="D128" i="4"/>
  <c r="F103" i="4"/>
  <c r="F128" i="4"/>
  <c r="P105" i="4"/>
  <c r="I122" i="4"/>
  <c r="G128" i="4"/>
  <c r="E103" i="4"/>
  <c r="J110" i="4"/>
  <c r="F116" i="4"/>
  <c r="K122" i="4"/>
  <c r="D122" i="4"/>
  <c r="P115" i="4"/>
  <c r="E122" i="4"/>
  <c r="M122" i="4"/>
  <c r="I103" i="4"/>
  <c r="J116" i="4"/>
  <c r="P101" i="4"/>
  <c r="H103" i="4"/>
  <c r="P107" i="4"/>
  <c r="P113" i="4"/>
  <c r="I116" i="4"/>
  <c r="E116" i="4"/>
  <c r="P127" i="4"/>
  <c r="P104" i="4"/>
  <c r="H110" i="4"/>
  <c r="K110" i="4"/>
  <c r="P111" i="4"/>
  <c r="H116" i="4"/>
  <c r="P114" i="4"/>
  <c r="G116" i="4"/>
  <c r="I128" i="4"/>
  <c r="J128" i="4"/>
  <c r="P109" i="4"/>
  <c r="K103" i="4"/>
  <c r="F122" i="4"/>
  <c r="P102" i="4"/>
  <c r="P100" i="4"/>
  <c r="P98" i="4"/>
  <c r="P108" i="4"/>
  <c r="G122" i="4"/>
  <c r="K128" i="4"/>
  <c r="H122" i="4"/>
  <c r="L122" i="4"/>
  <c r="L128" i="4"/>
  <c r="H128" i="4"/>
  <c r="P97" i="4"/>
  <c r="G110" i="4"/>
  <c r="P106" i="4" s="1"/>
  <c r="L116" i="4"/>
  <c r="P112" i="4" s="1"/>
  <c r="E128" i="4"/>
  <c r="P124" i="4" s="1"/>
  <c r="G103" i="4"/>
  <c r="D110" i="4"/>
  <c r="L110" i="4"/>
  <c r="D116" i="4"/>
  <c r="P123" i="4"/>
  <c r="I110" i="4"/>
  <c r="P117" i="4"/>
  <c r="P119" i="4"/>
  <c r="P121" i="4"/>
  <c r="D103" i="4"/>
  <c r="P118" i="4"/>
  <c r="P120" i="4"/>
  <c r="M110" i="4"/>
  <c r="F110" i="4"/>
  <c r="D50" i="4"/>
  <c r="I18" i="39" l="1"/>
  <c r="I19" i="39" s="1"/>
  <c r="H18" i="39"/>
  <c r="H19" i="39" s="1"/>
  <c r="H22" i="39" s="1"/>
  <c r="J18" i="39"/>
  <c r="J19" i="39" s="1"/>
  <c r="K18" i="39"/>
  <c r="K19" i="39" s="1"/>
  <c r="G18" i="39"/>
  <c r="G19" i="39" s="1"/>
  <c r="P92" i="4"/>
  <c r="C13" i="13" s="1"/>
  <c r="E18" i="39"/>
  <c r="E19" i="39" s="1"/>
  <c r="M129" i="4"/>
  <c r="P50" i="4"/>
  <c r="L18" i="39"/>
  <c r="L19" i="39" s="1"/>
  <c r="F18" i="39"/>
  <c r="F19" i="39" s="1"/>
  <c r="M17" i="39"/>
  <c r="M18" i="39" s="1"/>
  <c r="M130" i="4"/>
  <c r="D17" i="39"/>
  <c r="D16" i="39"/>
  <c r="P54" i="4"/>
  <c r="K129" i="4"/>
  <c r="G129" i="4"/>
  <c r="I129" i="4"/>
  <c r="L129" i="4"/>
  <c r="P99" i="4"/>
  <c r="J129" i="4"/>
  <c r="D130" i="4"/>
  <c r="E130" i="4"/>
  <c r="G130" i="4"/>
  <c r="J130" i="4"/>
  <c r="E129" i="4"/>
  <c r="P122" i="4"/>
  <c r="P116" i="4"/>
  <c r="K130" i="4"/>
  <c r="L130" i="4"/>
  <c r="H129" i="4"/>
  <c r="H130" i="4"/>
  <c r="F129" i="4"/>
  <c r="D129" i="4"/>
  <c r="P103" i="4"/>
  <c r="P110" i="4"/>
  <c r="F130" i="4"/>
  <c r="I130" i="4"/>
  <c r="H21" i="39" l="1"/>
  <c r="E36" i="39"/>
  <c r="E33" i="39"/>
  <c r="E35" i="39"/>
  <c r="E39" i="39"/>
  <c r="E38" i="39"/>
  <c r="E37" i="39"/>
  <c r="E34" i="39"/>
  <c r="E31" i="39"/>
  <c r="E40" i="39"/>
  <c r="F23" i="39"/>
  <c r="L23" i="39"/>
  <c r="E22" i="39"/>
  <c r="G23" i="39"/>
  <c r="K23" i="39"/>
  <c r="J23" i="39"/>
  <c r="H23" i="39"/>
  <c r="H24" i="39" s="1"/>
  <c r="I23" i="39"/>
  <c r="P16" i="39"/>
  <c r="D18" i="39"/>
  <c r="D19" i="39" s="1"/>
  <c r="J21" i="39"/>
  <c r="J22" i="39"/>
  <c r="K21" i="39"/>
  <c r="K22" i="39"/>
  <c r="K24" i="39" s="1"/>
  <c r="C38" i="39" s="1"/>
  <c r="E21" i="39"/>
  <c r="P20" i="39" s="1"/>
  <c r="E23" i="39"/>
  <c r="G21" i="39"/>
  <c r="P17" i="39"/>
  <c r="G22" i="39"/>
  <c r="L21" i="39"/>
  <c r="L22" i="39"/>
  <c r="C14" i="13"/>
  <c r="F15" i="15" s="1"/>
  <c r="F21" i="39"/>
  <c r="F22" i="39"/>
  <c r="M19" i="39"/>
  <c r="I22" i="39"/>
  <c r="I24" i="39" s="1"/>
  <c r="C36" i="39" s="1"/>
  <c r="I21" i="39"/>
  <c r="E32" i="39"/>
  <c r="P130" i="4"/>
  <c r="P129" i="4"/>
  <c r="P125" i="4"/>
  <c r="P126" i="4"/>
  <c r="C12" i="13"/>
  <c r="P128" i="4"/>
  <c r="F24" i="39" l="1"/>
  <c r="C35" i="39"/>
  <c r="E24" i="39"/>
  <c r="C32" i="39" s="1"/>
  <c r="C15" i="13"/>
  <c r="F12" i="15"/>
  <c r="E22" i="15" s="1"/>
  <c r="E24" i="15" s="1"/>
  <c r="L24" i="39"/>
  <c r="C39" i="39" s="1"/>
  <c r="E43" i="39"/>
  <c r="J24" i="39"/>
  <c r="C37" i="39" s="1"/>
  <c r="G24" i="39"/>
  <c r="C34" i="39" s="1"/>
  <c r="M23" i="39"/>
  <c r="O31" i="39"/>
  <c r="D34" i="13"/>
  <c r="L21" i="36"/>
  <c r="D23" i="39"/>
  <c r="P18" i="39"/>
  <c r="P19" i="39" s="1"/>
  <c r="M22" i="39"/>
  <c r="M21" i="39"/>
  <c r="E35" i="27"/>
  <c r="E24" i="27"/>
  <c r="E41" i="27" s="1"/>
  <c r="E20" i="27"/>
  <c r="C16" i="13" l="1"/>
  <c r="P23" i="39"/>
  <c r="C33" i="39"/>
  <c r="M24" i="39"/>
  <c r="C40" i="39" s="1"/>
  <c r="E49" i="27"/>
  <c r="E53" i="27" s="1"/>
  <c r="G33" i="27"/>
  <c r="C26" i="13" l="1"/>
  <c r="D15" i="39"/>
  <c r="D21" i="39" l="1"/>
  <c r="P21" i="39" s="1"/>
  <c r="C22" i="13" s="1"/>
  <c r="D22" i="39"/>
  <c r="P22" i="39" l="1"/>
  <c r="P24" i="39" s="1"/>
  <c r="D24" i="39"/>
  <c r="C31" i="39" s="1"/>
  <c r="C23" i="13"/>
  <c r="C9" i="13" s="1"/>
  <c r="D31" i="39" s="1"/>
  <c r="C43" i="39"/>
  <c r="G31" i="39" l="1"/>
  <c r="C27" i="13"/>
  <c r="C31" i="13" s="1"/>
  <c r="D33" i="13" s="1"/>
  <c r="D35" i="13" s="1"/>
  <c r="F10" i="15" l="1"/>
  <c r="D35" i="39"/>
  <c r="G35" i="39" s="1"/>
  <c r="D39" i="39"/>
  <c r="G39" i="39" s="1"/>
  <c r="D33" i="39"/>
  <c r="G33" i="39" s="1"/>
  <c r="D41" i="39"/>
  <c r="G41" i="39" s="1"/>
  <c r="D34" i="39"/>
  <c r="G34" i="39" s="1"/>
  <c r="D38" i="39"/>
  <c r="G38" i="39" s="1"/>
  <c r="D42" i="39"/>
  <c r="G42" i="39" s="1"/>
  <c r="D32" i="39"/>
  <c r="D36" i="39"/>
  <c r="G36" i="39" s="1"/>
  <c r="D40" i="39"/>
  <c r="G40" i="39" s="1"/>
  <c r="D37" i="39"/>
  <c r="G37" i="39" s="1"/>
  <c r="G32" i="39" l="1"/>
  <c r="G43" i="39" s="1"/>
  <c r="D43" i="39"/>
  <c r="M15" i="36"/>
  <c r="N15" i="36"/>
  <c r="L15" i="36"/>
  <c r="O30" i="39" l="1"/>
  <c r="O32" i="39" s="1"/>
  <c r="K16" i="36"/>
  <c r="F11" i="15" s="1"/>
  <c r="L20" i="36" l="1"/>
  <c r="F13" i="15"/>
  <c r="L22" i="36" l="1"/>
  <c r="F14" i="15" l="1"/>
  <c r="E37" i="44" l="1"/>
  <c r="K23" i="44" l="1"/>
  <c r="J13" i="44"/>
  <c r="K33" i="44"/>
  <c r="K26" i="44"/>
  <c r="K32" i="44"/>
  <c r="K21" i="44"/>
  <c r="K20" i="44"/>
  <c r="K18" i="44"/>
  <c r="K28" i="44"/>
  <c r="K16" i="44"/>
  <c r="K25" i="44"/>
  <c r="K30" i="44"/>
  <c r="K34" i="44"/>
  <c r="K15" i="44"/>
  <c r="J19" i="44"/>
  <c r="K14" i="44"/>
  <c r="J25" i="44"/>
  <c r="J30" i="44"/>
  <c r="K22" i="44"/>
  <c r="K24" i="44"/>
  <c r="K31" i="44"/>
  <c r="K29" i="44"/>
  <c r="K19" i="44"/>
  <c r="K17" i="44"/>
  <c r="K27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PORTAL</author>
  </authors>
  <commentList>
    <comment ref="B15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2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<sst xmlns="http://schemas.openxmlformats.org/spreadsheetml/2006/main" count="486" uniqueCount="279">
  <si>
    <t>Parâmetros</t>
    <phoneticPr fontId="0" type="noConversion"/>
  </si>
  <si>
    <t>Data</t>
    <phoneticPr fontId="0" type="noConversion"/>
  </si>
  <si>
    <t>Data do Reajuste</t>
    <phoneticPr fontId="0" type="noConversion"/>
  </si>
  <si>
    <t>01/06/2023</t>
  </si>
  <si>
    <t>Vigência das Tarifas pós RTA-2023</t>
  </si>
  <si>
    <t>01/06/2023 a 31/05/2024</t>
  </si>
  <si>
    <t xml:space="preserve">DRA: Data  de Referência Anterior </t>
    <phoneticPr fontId="0" type="noConversion"/>
  </si>
  <si>
    <t>01/06/2022</t>
  </si>
  <si>
    <t xml:space="preserve">DRP: Data de Reajuste em Processamento </t>
    <phoneticPr fontId="0" type="noConversion"/>
  </si>
  <si>
    <t>Período de Referência (parcela A + parcela B): 12 meses</t>
  </si>
  <si>
    <t>jan/2022 a dez/2022</t>
  </si>
  <si>
    <t>Mercado de Referência (parcela A + parcela B): Volume de Água e de Esgoto</t>
  </si>
  <si>
    <t>Período de Referência (Bônus-Desconto): 12 meses</t>
  </si>
  <si>
    <t>jan/2021 a dez/2021</t>
  </si>
  <si>
    <t>Período de Apuração (Bônus-Desconto): 12 meses</t>
  </si>
  <si>
    <t>Índices de inflação</t>
  </si>
  <si>
    <t>Meses</t>
    <phoneticPr fontId="0" type="noConversion"/>
  </si>
  <si>
    <t>INPC</t>
    <phoneticPr fontId="0" type="noConversion"/>
  </si>
  <si>
    <t>IPCA</t>
    <phoneticPr fontId="0" type="noConversion"/>
  </si>
  <si>
    <t>IGP-M</t>
  </si>
  <si>
    <t>Índice Acumulado (%)</t>
  </si>
  <si>
    <t>Fonte: www.ipeadata.gov.br</t>
  </si>
  <si>
    <t>Dados de Energia Elétrica 2021 e 2022</t>
  </si>
  <si>
    <t>Meses</t>
  </si>
  <si>
    <t>Custo de Energia* (R$)</t>
    <phoneticPr fontId="0" type="noConversion"/>
  </si>
  <si>
    <t>Consumo** (MWh)</t>
    <phoneticPr fontId="0" type="noConversion"/>
  </si>
  <si>
    <t>Consumo** (MWh)</t>
  </si>
  <si>
    <t>Total (R$)</t>
  </si>
  <si>
    <t>* Custo de Energia (R$): toda a despesa mensal incorrida pela CAESB com energia elétrica no referido mês, segundo dados do balancete e razão contábil</t>
  </si>
  <si>
    <t>** Consumo (MWh): todo o consumo mensal de energia elétrica, em MWh, da CAESB no referido mês</t>
  </si>
  <si>
    <t>Fonte: CAESB</t>
  </si>
  <si>
    <t>Variação nos custos de energia elétrica (Δenergia)</t>
  </si>
  <si>
    <t>Descrição</t>
  </si>
  <si>
    <t>Custo de Energia (R$)</t>
    <phoneticPr fontId="0" type="noConversion"/>
  </si>
  <si>
    <t>Consumo (MWh)</t>
    <phoneticPr fontId="0" type="noConversion"/>
  </si>
  <si>
    <t>R$/MWh</t>
  </si>
  <si>
    <t>Período de Referência</t>
  </si>
  <si>
    <t>Período de Referência Anterior</t>
  </si>
  <si>
    <t>Δenergia</t>
  </si>
  <si>
    <t>Apuração do Bônus-Desconto para o Reajuste 2023</t>
  </si>
  <si>
    <t>Categoria Residencial Normal</t>
  </si>
  <si>
    <t>Quadro Resumo - Bônus-Desconto</t>
  </si>
  <si>
    <t xml:space="preserve"> Período de Referência (A) </t>
  </si>
  <si>
    <t xml:space="preserve">Consumo (m³) </t>
  </si>
  <si>
    <t xml:space="preserve">Período de Apuração (B) </t>
  </si>
  <si>
    <t>Economia em m³</t>
  </si>
  <si>
    <t>Residencial Normal</t>
  </si>
  <si>
    <t>Residencial Popular</t>
  </si>
  <si>
    <t>Comercial</t>
  </si>
  <si>
    <t>Industrial</t>
  </si>
  <si>
    <t xml:space="preserve">Economia até maio de 2022 (m3)  </t>
  </si>
  <si>
    <t xml:space="preserve">Bônus Desconto até maio de 2022  (%) -  Lei 4.341/09 </t>
  </si>
  <si>
    <t>Base de Cálculo até maio de 2022 (m3)</t>
  </si>
  <si>
    <t>Tarifa Inicial até maio de 2022 (R$)</t>
  </si>
  <si>
    <t>Bonus-Desconto (R$)</t>
  </si>
  <si>
    <t>Bônus-desconto total</t>
  </si>
  <si>
    <t>Valor do Bônus-Desconto (R$) - Parcela A</t>
  </si>
  <si>
    <r>
      <t>VPA-BD</t>
    </r>
    <r>
      <rPr>
        <vertAlign val="subscript"/>
        <sz val="11"/>
        <rFont val="Calibri"/>
        <family val="2"/>
        <scheme val="minor"/>
      </rPr>
      <t>DRP</t>
    </r>
  </si>
  <si>
    <t>Mercado de Referência (m³) - jan a dez/2022</t>
  </si>
  <si>
    <t>MR (m³)</t>
  </si>
  <si>
    <t>Tarifa Bônus-Desconto (R$/m³)</t>
  </si>
  <si>
    <r>
      <t>TA-BD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= VPA-BD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/MR </t>
    </r>
  </si>
  <si>
    <t>Categoria Residencial Social</t>
  </si>
  <si>
    <t>Categoria Comercial</t>
  </si>
  <si>
    <t>Categoria Industrial</t>
  </si>
  <si>
    <r>
      <t>Volume de Água Produzida e de Esgoto Coletado pela CAESB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</si>
  <si>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</si>
  <si>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</si>
  <si>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</si>
  <si>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t>Total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</si>
  <si>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</si>
  <si>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</si>
  <si>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</si>
  <si>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</si>
  <si>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</si>
  <si>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</si>
  <si>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</si>
  <si>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</si>
  <si>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</si>
  <si>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</si>
  <si>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</si>
  <si>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</si>
  <si>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0 a 4</t>
  </si>
  <si>
    <t>5 a 7</t>
  </si>
  <si>
    <t>8 a 10</t>
  </si>
  <si>
    <t>11 a 40</t>
  </si>
  <si>
    <t>&gt; 40</t>
  </si>
  <si>
    <t>Pública</t>
  </si>
  <si>
    <t>Total Geral</t>
  </si>
  <si>
    <t>Saneago</t>
  </si>
  <si>
    <t>Água Bruta</t>
  </si>
  <si>
    <t>Saneago + Água Bruta</t>
  </si>
  <si>
    <t>Total Geral com água bruta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</si>
  <si>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</si>
  <si>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Específico - SANEAGO Esgoto</t>
  </si>
  <si>
    <t>III - Volume Faturado de Água e de Esgoto (m3)</t>
  </si>
  <si>
    <t>Valor da Parcela A - 2023 - DRP</t>
  </si>
  <si>
    <r>
      <t>TA</t>
    </r>
    <r>
      <rPr>
        <b/>
        <vertAlign val="subscript"/>
        <sz val="9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TFS/TFU (R$/m³)</t>
    </r>
  </si>
  <si>
    <t>Taxa de Fiscalização do Serviço - TFS</t>
    <phoneticPr fontId="0" type="noConversion"/>
  </si>
  <si>
    <r>
      <t>Volume Faturado de Água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</si>
  <si>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de Esgoto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</si>
  <si>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Total 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</si>
  <si>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</si>
  <si>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</si>
  <si>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</si>
  <si>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r>
      <t>Volume de Água Produzida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</si>
  <si>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de Esgoto Coletado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</si>
  <si>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Produzido e Coletado Total - Vp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</si>
  <si>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Uso Auferido - Beu(a) (R$)</t>
    <phoneticPr fontId="0" type="noConversion"/>
  </si>
  <si>
    <t>TFU = 2,5% x Beu(a) (R$)</t>
  </si>
  <si>
    <t>Itens de Custo da Parcela A</t>
  </si>
  <si>
    <t xml:space="preserve">Valor </t>
  </si>
  <si>
    <t>Taxa de Fiscalização do Serviço - TFS</t>
  </si>
  <si>
    <t>Taxa de Fiscalização do Uso - TFU</t>
  </si>
  <si>
    <t>Valor Conselho de Consumidores da Caesb</t>
  </si>
  <si>
    <t>Pagamento pelo uso dos recursos hídricos de domínio da União - 2024</t>
  </si>
  <si>
    <t>Investimentos em Pesquisa, Desenvolvimento e Inovação - PDI</t>
  </si>
  <si>
    <t>Receita Operacional Direta 2019</t>
  </si>
  <si>
    <r>
      <t xml:space="preserve">Valor da Parcela A (VPA 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>)</t>
    </r>
  </si>
  <si>
    <t>Valor da Parcela A (R$)</t>
  </si>
  <si>
    <r>
      <t>VPA</t>
    </r>
    <r>
      <rPr>
        <vertAlign val="subscript"/>
        <sz val="11"/>
        <rFont val="Calibri"/>
        <family val="2"/>
        <scheme val="minor"/>
      </rPr>
      <t>DRP</t>
    </r>
  </si>
  <si>
    <t>MR</t>
  </si>
  <si>
    <t>Tarifa da parcela A (R$/m³)</t>
  </si>
  <si>
    <r>
      <t>TA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VPA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</si>
  <si>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Valor da Parcela B 2023 - DRP</t>
  </si>
  <si>
    <t>IrB (%)</t>
    <phoneticPr fontId="0" type="noConversion"/>
  </si>
  <si>
    <t>Custos</t>
  </si>
  <si>
    <t>Proporção (%)</t>
  </si>
  <si>
    <t>Variação (%)</t>
    <phoneticPr fontId="0" type="noConversion"/>
  </si>
  <si>
    <t xml:space="preserve"> Impacto no IrB (%)</t>
  </si>
  <si>
    <t>Pessoal</t>
  </si>
  <si>
    <t>%P x ΔINPC</t>
    <phoneticPr fontId="0" type="noConversion"/>
  </si>
  <si>
    <t>Energia Elétrica</t>
  </si>
  <si>
    <t>%EE x Δenergia</t>
    <phoneticPr fontId="0" type="noConversion"/>
  </si>
  <si>
    <t xml:space="preserve">Material </t>
  </si>
  <si>
    <t>%MT x ΔIGP-M</t>
    <phoneticPr fontId="0" type="noConversion"/>
  </si>
  <si>
    <t>Remuneração dos Investimentos</t>
  </si>
  <si>
    <t>%RI x ΔIGP-M</t>
    <phoneticPr fontId="0" type="noConversion"/>
  </si>
  <si>
    <t>Outros Custos</t>
  </si>
  <si>
    <t>% OC x ΔIPCA</t>
    <phoneticPr fontId="0" type="noConversion"/>
  </si>
  <si>
    <t>IrB = (%P x ΔINPC) + (%EE x ΔEnergia) + (%MT x ΔIGP-M) + (%RI x ΔIGP-M) + (% OC x ΔIPCA)</t>
  </si>
  <si>
    <t>Fonte: 3ª Revisão Tarifária Periódica</t>
  </si>
  <si>
    <t>(%RI+%MT) x ΔIGP-M</t>
  </si>
  <si>
    <t xml:space="preserve"> 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</si>
  <si>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</si>
  <si>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</si>
  <si>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</si>
  <si>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</si>
  <si>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</si>
  <si>
    <r>
      <t>TB</t>
    </r>
    <r>
      <rPr>
        <b/>
        <vertAlign val="subscript"/>
        <sz val="11"/>
        <rFont val="Calibri"/>
        <family val="2"/>
        <scheme val="minor"/>
      </rPr>
      <t>DRA</t>
    </r>
  </si>
  <si>
    <r>
      <t>TB</t>
    </r>
    <r>
      <rPr>
        <b/>
        <vertAlign val="subscript"/>
        <sz val="11"/>
        <rFont val="Calibri"/>
        <family val="2"/>
        <scheme val="minor"/>
      </rPr>
      <t>DRP</t>
    </r>
  </si>
  <si>
    <t>Valor dos Componentes Financeiros 2023 - DRP</t>
  </si>
  <si>
    <t>DISCRIMINAÇÃO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</si>
  <si>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</si>
  <si>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</si>
  <si>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</si>
  <si>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</si>
  <si>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</si>
  <si>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</si>
  <si>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</si>
  <si>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</si>
  <si>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</si>
  <si>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</si>
  <si>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</si>
  <si>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</si>
  <si>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</si>
  <si>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Operacional Direta</t>
  </si>
  <si>
    <t>R$</t>
  </si>
  <si>
    <r>
      <t xml:space="preserve">volume </t>
    </r>
    <r>
      <rPr>
        <sz val="11"/>
        <rFont val="Calibri"/>
        <family val="2"/>
      </rPr>
      <t>produzido Ag</t>
    </r>
  </si>
  <si>
    <t>m³</t>
  </si>
  <si>
    <r>
      <t xml:space="preserve">volume </t>
    </r>
    <r>
      <rPr>
        <sz val="11"/>
        <rFont val="Calibri"/>
        <family val="2"/>
      </rPr>
      <t>coletado Esg</t>
    </r>
  </si>
  <si>
    <t>Total vol prod Ag + Esg</t>
  </si>
  <si>
    <r>
      <t xml:space="preserve">volume </t>
    </r>
    <r>
      <rPr>
        <sz val="11"/>
        <rFont val="Calibri"/>
        <family val="2"/>
      </rPr>
      <t>faturado Ag</t>
    </r>
  </si>
  <si>
    <r>
      <t xml:space="preserve">volume </t>
    </r>
    <r>
      <rPr>
        <sz val="11"/>
        <rFont val="Calibri"/>
        <family val="2"/>
      </rPr>
      <t>faturado Esg</t>
    </r>
  </si>
  <si>
    <t>Total vol fat Ag + Esg</t>
  </si>
  <si>
    <t>Tarifa Média</t>
  </si>
  <si>
    <t>R$/m³</t>
  </si>
  <si>
    <t>Bes</t>
  </si>
  <si>
    <t>Beu</t>
  </si>
  <si>
    <t>TFU (2,5%)</t>
  </si>
  <si>
    <t>TFS (1%)</t>
  </si>
  <si>
    <t>Mês</t>
  </si>
  <si>
    <t>CPA</t>
  </si>
  <si>
    <t>VPA</t>
  </si>
  <si>
    <t>IPCA</t>
  </si>
  <si>
    <t>CF</t>
  </si>
  <si>
    <t>Valor do Componente Financeiro (R$)</t>
  </si>
  <si>
    <r>
      <rPr>
        <sz val="11"/>
        <rFont val="Calibri"/>
        <family val="2"/>
        <scheme val="minor"/>
      </rPr>
      <t>CF</t>
    </r>
    <r>
      <rPr>
        <vertAlign val="subscript"/>
        <sz val="11"/>
        <rFont val="Calibri"/>
        <family val="2"/>
        <scheme val="minor"/>
      </rPr>
      <t>DRP</t>
    </r>
  </si>
  <si>
    <t>jan</t>
  </si>
  <si>
    <t>fev</t>
  </si>
  <si>
    <t>Tarifa de Componentes Financeiros (R$/m³)</t>
  </si>
  <si>
    <r>
      <t>TF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CF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</si>
  <si>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</si>
  <si>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</si>
  <si>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</si>
  <si>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</si>
  <si>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</si>
  <si>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</si>
  <si>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</si>
  <si>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</si>
  <si>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</si>
  <si>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</si>
  <si>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do RTA 2023</t>
  </si>
  <si>
    <t>Valores da DRA</t>
  </si>
  <si>
    <t>Valores da DRP</t>
  </si>
  <si>
    <t>Valor Parcela A</t>
  </si>
  <si>
    <r>
      <t>VPA</t>
    </r>
    <r>
      <rPr>
        <vertAlign val="subscript"/>
        <sz val="11"/>
        <rFont val="Calibri"/>
        <family val="2"/>
        <scheme val="minor"/>
      </rPr>
      <t>DRA</t>
    </r>
  </si>
  <si>
    <t>Valor do Bônus-desconto - Parcela A:</t>
  </si>
  <si>
    <r>
      <t>VPA-BD</t>
    </r>
    <r>
      <rPr>
        <vertAlign val="subscript"/>
        <sz val="11"/>
        <rFont val="Calibri"/>
        <family val="2"/>
        <scheme val="minor"/>
      </rPr>
      <t>DRA</t>
    </r>
  </si>
  <si>
    <t xml:space="preserve">Valor da Parcela B: </t>
    <phoneticPr fontId="0" type="noConversion"/>
  </si>
  <si>
    <r>
      <t>VPB</t>
    </r>
    <r>
      <rPr>
        <vertAlign val="subscript"/>
        <sz val="11"/>
        <rFont val="Calibri"/>
        <family val="2"/>
        <scheme val="minor"/>
      </rPr>
      <t>DRA</t>
    </r>
  </si>
  <si>
    <t xml:space="preserve">Valor do Componente Financeiro </t>
  </si>
  <si>
    <r>
      <t>VCF</t>
    </r>
    <r>
      <rPr>
        <vertAlign val="subscript"/>
        <sz val="11"/>
        <rFont val="Calibri"/>
        <family val="2"/>
        <scheme val="minor"/>
      </rPr>
      <t>DRP</t>
    </r>
  </si>
  <si>
    <t>Receita Anual:</t>
  </si>
  <si>
    <t>RA</t>
  </si>
  <si>
    <t>Mercado de Referência (m³) - jan a dez</t>
  </si>
  <si>
    <t>Fonte: RTA 2021 - Tarifa das Parcelas A, B e CF na DRP 2021</t>
  </si>
  <si>
    <t xml:space="preserve">Disponível em: Nota Técnica N.º 11/2021 - ADASA/SEF/COEE </t>
  </si>
  <si>
    <t>Tarifa</t>
  </si>
  <si>
    <r>
      <t>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</si>
  <si>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t>DRP (R$/m³)</t>
  </si>
  <si>
    <t xml:space="preserve">Tarifa de Parcela A:                                                                    </t>
  </si>
  <si>
    <r>
      <t>TA</t>
    </r>
    <r>
      <rPr>
        <vertAlign val="subscript"/>
        <sz val="11"/>
        <rFont val="Calibri"/>
        <family val="2"/>
        <scheme val="minor"/>
      </rPr>
      <t>DRA</t>
    </r>
  </si>
  <si>
    <t>Tarifa Bônus-desconto</t>
  </si>
  <si>
    <r>
      <t>TA-BD</t>
    </r>
    <r>
      <rPr>
        <vertAlign val="subscript"/>
        <sz val="11"/>
        <rFont val="Calibri"/>
        <family val="2"/>
        <scheme val="minor"/>
      </rPr>
      <t>DRA</t>
    </r>
  </si>
  <si>
    <t xml:space="preserve">Tarifa de Parcela B: </t>
    <phoneticPr fontId="0" type="noConversion"/>
  </si>
  <si>
    <r>
      <t>TB</t>
    </r>
    <r>
      <rPr>
        <vertAlign val="subscript"/>
        <sz val="11"/>
        <rFont val="Calibri"/>
        <family val="2"/>
        <scheme val="minor"/>
      </rPr>
      <t>DRA</t>
    </r>
  </si>
  <si>
    <t>Tarifa Componentes Financeiros</t>
  </si>
  <si>
    <r>
      <t>TF</t>
    </r>
    <r>
      <rPr>
        <vertAlign val="subscript"/>
        <sz val="11"/>
        <rFont val="Calibri"/>
        <family val="2"/>
        <scheme val="minor"/>
      </rPr>
      <t>DRA</t>
    </r>
  </si>
  <si>
    <t xml:space="preserve">Tarifa Final: </t>
  </si>
  <si>
    <t>Índice de Reajuste Tarifário</t>
  </si>
  <si>
    <t>Valor das Tarifas RTA 2023</t>
  </si>
  <si>
    <t>Tarifas resultantes do RTA 2022</t>
  </si>
  <si>
    <t>Tarifas resultantes do RTA 2023</t>
  </si>
  <si>
    <t>Tarifas dos serviços públicos de abastecimento de água e esgotamento sanitário a vigorar no período de 1º de janeiro de 2023 a 31 de maio de 2023</t>
  </si>
  <si>
    <t>Tarifas dos serviços públicos de abastecimento de água e esgotamento sanitário a vigorar no período de 1º de junho de 2024 a 31 de maio de 2025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</si>
  <si>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</si>
  <si>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</si>
  <si>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</si>
  <si>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</si>
  <si>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</si>
  <si>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</si>
  <si>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</si>
  <si>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</si>
  <si>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</si>
  <si>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</si>
  <si>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Resolução Adasa nº 12, de 18 de novembro de 2022</t>
  </si>
  <si>
    <t>Companhia de Saneamento Ambiental do Distrito Federal - CAESB</t>
  </si>
  <si>
    <t>Revisão Tarifária Periódica (3ª RTP)</t>
  </si>
  <si>
    <t>Reposicionamento Tarifário</t>
  </si>
  <si>
    <t>Parcela A (VPA)</t>
  </si>
  <si>
    <t>em R$</t>
  </si>
  <si>
    <t>. Bônus desconto</t>
  </si>
  <si>
    <t xml:space="preserve">. TFS  </t>
  </si>
  <si>
    <t>. TFU</t>
  </si>
  <si>
    <t>.Conselho dos consumidores</t>
  </si>
  <si>
    <t>. Pagamento pelo uso dos recursos hídricos de domínio do DF</t>
  </si>
  <si>
    <t xml:space="preserve">. Redução alíquota PASEP/COFINS </t>
  </si>
  <si>
    <t>Total Parcela A (VPA)</t>
  </si>
  <si>
    <t>Parcela B (VPB)</t>
  </si>
  <si>
    <t>. Custos Operacionais 3ª RTP</t>
  </si>
  <si>
    <t>.Pessoal</t>
  </si>
  <si>
    <t>.Terceiros</t>
  </si>
  <si>
    <t>.Material</t>
  </si>
  <si>
    <t>.Gerais</t>
  </si>
  <si>
    <t>.Depreciação</t>
  </si>
  <si>
    <t>.Impostos e taxas</t>
  </si>
  <si>
    <t>.Energia elétrica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</si>
  <si>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</si>
  <si>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</si>
  <si>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</si>
  <si>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</si>
  <si>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dos Ativos de Almoxarifado</t>
  </si>
  <si>
    <t>Total Parcela B (VPB)</t>
  </si>
  <si>
    <t>. Receita Requerida (VPA + VPB)</t>
  </si>
  <si>
    <t>(-) Outras Receitas</t>
  </si>
  <si>
    <t>. Receita Requerida Líquida (A)</t>
  </si>
  <si>
    <t>. Receita Verificada (B)</t>
  </si>
  <si>
    <t>Reposicionamento Tarifário - RT (A/B-1)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</si>
</sst>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#,##0.0000"/>
    <numFmt numFmtId="166" formatCode="0.0000%"/>
    <numFmt numFmtId="167" formatCode="_-* #,##0_-;\-* #,##0_-;_-* &quot;-&quot;??_-;_-@_-"/>
    <numFmt numFmtId="168" formatCode="_(* #,##0.00_);_(* \(#,##0.00\);_(* &quot;-&quot;??_);_(@_)"/>
    <numFmt numFmtId="169" formatCode="mmm\-yy"/>
    <numFmt numFmtId="170" formatCode="0.0000"/>
    <numFmt numFmtId="171" formatCode="_(&quot;R$ &quot;* #,##0.00_);_(&quot;R$ &quot;* \(#,##0.00\);_(&quot;R$ &quot;* &quot;-&quot;??_);_(@_)"/>
    <numFmt numFmtId="172" formatCode="_-* #,##0.0000_-;\-* #,##0.0000_-;_-* &quot;-&quot;??_-;_-@_-"/>
    <numFmt numFmtId="173" formatCode="mmmm/yyyy"/>
    <numFmt numFmtId="174" formatCode="0.00000"/>
    <numFmt numFmtId="175" formatCode="_(* #,##0_);_(* \(#,##0\);_(* &quot;-&quot;??_);_(@_)"/>
    <numFmt numFmtId="176" formatCode="#,##0;[Red]#,##0"/>
    <numFmt numFmtId="177" formatCode="_(* #,##0_);_(* \(#,##0\);_(* &quot;-&quot;_);_(@_)"/>
    <numFmt numFmtId="178" formatCode="[$-416]mmm\-yy;@"/>
    <numFmt numFmtId="179" formatCode="&quot;R$&quot;#,##0.00"/>
    <numFmt numFmtId="180" formatCode="_-* #,##0.00000_-;\-* #,##0.00000_-;_-* &quot;-&quot;??_-;_-@_-"/>
    <numFmt numFmtId="181" formatCode="0.000000000%"/>
    <numFmt numFmtId="182" formatCode="#,##0.00;[Red]#,##0.00"/>
    <numFmt numFmtId="183" formatCode="0.0000000"/>
    <numFmt numFmtId="184" formatCode="0.0%"/>
    <numFmt numFmtId="185" formatCode="_-* #,##0.000_-;\-* #,##0.000_-;_-* &quot;-&quot;??_-;_-@_-"/>
    <numFmt numFmtId="186" formatCode="_-* #,##0.0000_-;\-* #,##0.0000_-;_-* &quot;-&quot;????_-;_-@_-"/>
    <numFmt numFmtId="187" formatCode="#,##0.000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9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rgb="FF1F497D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3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b/>
      <vertAlign val="subscript"/>
      <sz val="9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vertAlign val="subscript"/>
      <sz val="10.5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3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2" fillId="0" borderId="0"/>
    <xf numFmtId="0" fontId="3" fillId="0" borderId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>
      <alignment vertical="top"/>
    </xf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8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43" fontId="0" fillId="0" borderId="0" xfId="0" applyNumberFormat="1"/>
    <xf numFmtId="0" fontId="3" fillId="0" borderId="0" xfId="4">
      <alignment vertical="top"/>
    </xf>
    <xf numFmtId="3" fontId="3" fillId="0" borderId="0" xfId="4" applyNumberForma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9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9" applyFont="1" applyFill="1" applyAlignment="1">
      <alignment horizontal="center" vertical="center"/>
    </xf>
    <xf numFmtId="0" fontId="0" fillId="0" borderId="0" xfId="0" applyAlignment="1">
      <alignment horizontal="center"/>
    </xf>
    <xf numFmtId="4" fontId="5" fillId="4" borderId="0" xfId="0" applyNumberFormat="1" applyFont="1" applyFill="1" applyAlignment="1">
      <alignment vertical="top"/>
    </xf>
    <xf numFmtId="43" fontId="5" fillId="4" borderId="0" xfId="1" applyFont="1" applyFill="1" applyAlignment="1">
      <alignment vertical="top"/>
    </xf>
    <xf numFmtId="43" fontId="5" fillId="4" borderId="0" xfId="0" applyNumberFormat="1" applyFont="1" applyFill="1" applyAlignment="1">
      <alignment vertical="top"/>
    </xf>
    <xf numFmtId="0" fontId="0" fillId="0" borderId="0" xfId="0" applyAlignment="1">
      <alignment horizontal="center" vertical="top" wrapText="1"/>
    </xf>
    <xf numFmtId="10" fontId="4" fillId="3" borderId="0" xfId="3" applyNumberFormat="1" applyFont="1" applyFill="1"/>
    <xf numFmtId="43" fontId="0" fillId="0" borderId="0" xfId="1" applyFont="1"/>
    <xf numFmtId="0" fontId="8" fillId="0" borderId="0" xfId="0" applyFont="1"/>
    <xf numFmtId="172" fontId="0" fillId="0" borderId="0" xfId="1" applyNumberFormat="1" applyFont="1" applyAlignment="1">
      <alignment horizontal="center" vertical="top" wrapText="1"/>
    </xf>
    <xf numFmtId="0" fontId="0" fillId="4" borderId="0" xfId="0" applyFill="1"/>
    <xf numFmtId="167" fontId="4" fillId="3" borderId="0" xfId="1" applyNumberFormat="1" applyFont="1" applyFill="1" applyAlignment="1">
      <alignment horizontal="center" vertical="center"/>
    </xf>
    <xf numFmtId="167" fontId="0" fillId="0" borderId="0" xfId="0" applyNumberFormat="1"/>
    <xf numFmtId="0" fontId="4" fillId="0" borderId="0" xfId="0" applyFont="1" applyAlignment="1">
      <alignment horizontal="right"/>
    </xf>
    <xf numFmtId="170" fontId="4" fillId="0" borderId="0" xfId="0" applyNumberFormat="1" applyFont="1" applyAlignment="1">
      <alignment horizontal="left"/>
    </xf>
    <xf numFmtId="10" fontId="0" fillId="0" borderId="0" xfId="3" applyNumberFormat="1" applyFont="1"/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horizontal="right" vertical="center"/>
    </xf>
    <xf numFmtId="0" fontId="19" fillId="0" borderId="0" xfId="0" applyFont="1"/>
    <xf numFmtId="0" fontId="24" fillId="7" borderId="0" xfId="0" applyFont="1" applyFill="1"/>
    <xf numFmtId="0" fontId="25" fillId="7" borderId="0" xfId="14" applyFont="1" applyFill="1" applyAlignment="1">
      <alignment horizontal="left" vertical="center" indent="1"/>
    </xf>
    <xf numFmtId="0" fontId="24" fillId="4" borderId="0" xfId="0" applyFont="1" applyFill="1"/>
    <xf numFmtId="0" fontId="25" fillId="7" borderId="0" xfId="0" applyFont="1" applyFill="1" applyAlignment="1">
      <alignment horizontal="left" indent="1"/>
    </xf>
    <xf numFmtId="0" fontId="26" fillId="7" borderId="0" xfId="14" applyFont="1" applyFill="1" applyAlignment="1">
      <alignment horizontal="left" vertical="center" indent="1"/>
    </xf>
    <xf numFmtId="0" fontId="27" fillId="7" borderId="0" xfId="13" applyFont="1" applyFill="1" applyAlignment="1">
      <alignment horizontal="center" vertical="center"/>
    </xf>
    <xf numFmtId="0" fontId="3" fillId="4" borderId="0" xfId="13" applyFill="1"/>
    <xf numFmtId="0" fontId="26" fillId="4" borderId="0" xfId="14" applyFont="1" applyFill="1" applyAlignment="1">
      <alignment horizontal="left" vertical="center" indent="1"/>
    </xf>
    <xf numFmtId="0" fontId="27" fillId="4" borderId="0" xfId="13" applyFont="1" applyFill="1" applyAlignment="1">
      <alignment horizontal="center" vertical="center"/>
    </xf>
    <xf numFmtId="0" fontId="0" fillId="4" borderId="2" xfId="0" applyFill="1" applyBorder="1"/>
    <xf numFmtId="0" fontId="0" fillId="4" borderId="7" xfId="0" applyFill="1" applyBorder="1"/>
    <xf numFmtId="0" fontId="3" fillId="4" borderId="7" xfId="13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3" fillId="4" borderId="0" xfId="13" applyFill="1" applyAlignment="1">
      <alignment vertical="center"/>
    </xf>
    <xf numFmtId="43" fontId="3" fillId="4" borderId="0" xfId="1" applyFont="1" applyFill="1" applyBorder="1" applyAlignment="1">
      <alignment vertical="center"/>
    </xf>
    <xf numFmtId="0" fontId="0" fillId="4" borderId="8" xfId="0" applyFill="1" applyBorder="1"/>
    <xf numFmtId="0" fontId="3" fillId="4" borderId="9" xfId="13" applyFill="1" applyBorder="1"/>
    <xf numFmtId="0" fontId="0" fillId="4" borderId="10" xfId="0" applyFill="1" applyBorder="1"/>
    <xf numFmtId="0" fontId="0" fillId="4" borderId="11" xfId="0" applyFill="1" applyBorder="1"/>
    <xf numFmtId="0" fontId="28" fillId="2" borderId="7" xfId="13" applyFont="1" applyFill="1" applyBorder="1" applyAlignment="1">
      <alignment vertical="center"/>
    </xf>
    <xf numFmtId="0" fontId="28" fillId="2" borderId="7" xfId="13" applyFont="1" applyFill="1" applyBorder="1" applyAlignment="1">
      <alignment horizontal="center" vertical="center"/>
    </xf>
    <xf numFmtId="0" fontId="0" fillId="4" borderId="12" xfId="0" applyFill="1" applyBorder="1"/>
    <xf numFmtId="0" fontId="3" fillId="4" borderId="0" xfId="14" applyFill="1" applyAlignment="1">
      <alignment vertical="center"/>
    </xf>
    <xf numFmtId="177" fontId="3" fillId="4" borderId="0" xfId="11" applyNumberFormat="1" applyFont="1" applyFill="1" applyBorder="1"/>
    <xf numFmtId="0" fontId="3" fillId="4" borderId="0" xfId="14" applyFill="1" applyAlignment="1">
      <alignment horizontal="left" vertical="center"/>
    </xf>
    <xf numFmtId="10" fontId="3" fillId="4" borderId="0" xfId="3" applyNumberFormat="1" applyFont="1" applyFill="1" applyBorder="1"/>
    <xf numFmtId="0" fontId="28" fillId="4" borderId="9" xfId="13" applyFont="1" applyFill="1" applyBorder="1" applyAlignment="1">
      <alignment vertical="center"/>
    </xf>
    <xf numFmtId="177" fontId="28" fillId="4" borderId="9" xfId="11" applyNumberFormat="1" applyFont="1" applyFill="1" applyBorder="1"/>
    <xf numFmtId="0" fontId="28" fillId="4" borderId="0" xfId="14" applyFont="1" applyFill="1" applyAlignment="1">
      <alignment vertical="center"/>
    </xf>
    <xf numFmtId="177" fontId="28" fillId="4" borderId="0" xfId="11" applyNumberFormat="1" applyFont="1" applyFill="1" applyBorder="1"/>
    <xf numFmtId="0" fontId="3" fillId="4" borderId="0" xfId="14" applyFill="1" applyAlignment="1">
      <alignment horizontal="left" vertical="center" indent="1"/>
    </xf>
    <xf numFmtId="0" fontId="28" fillId="4" borderId="0" xfId="13" applyFont="1" applyFill="1" applyAlignment="1">
      <alignment vertical="center"/>
    </xf>
    <xf numFmtId="0" fontId="28" fillId="2" borderId="9" xfId="13" applyFont="1" applyFill="1" applyBorder="1" applyAlignment="1">
      <alignment vertical="center"/>
    </xf>
    <xf numFmtId="0" fontId="28" fillId="2" borderId="9" xfId="13" applyFont="1" applyFill="1" applyBorder="1" applyAlignment="1">
      <alignment horizontal="center" vertical="center"/>
    </xf>
    <xf numFmtId="0" fontId="28" fillId="5" borderId="0" xfId="14" applyFont="1" applyFill="1" applyAlignment="1">
      <alignment vertical="center"/>
    </xf>
    <xf numFmtId="10" fontId="28" fillId="5" borderId="0" xfId="3" applyNumberFormat="1" applyFont="1" applyFill="1" applyBorder="1" applyAlignment="1">
      <alignment vertical="center"/>
    </xf>
    <xf numFmtId="0" fontId="0" fillId="4" borderId="13" xfId="0" applyFill="1" applyBorder="1"/>
    <xf numFmtId="0" fontId="3" fillId="4" borderId="14" xfId="13" applyFill="1" applyBorder="1"/>
    <xf numFmtId="0" fontId="0" fillId="4" borderId="15" xfId="0" applyFill="1" applyBorder="1"/>
    <xf numFmtId="0" fontId="0" fillId="4" borderId="6" xfId="0" applyFill="1" applyBorder="1"/>
    <xf numFmtId="0" fontId="0" fillId="4" borderId="16" xfId="0" applyFill="1" applyBorder="1"/>
    <xf numFmtId="0" fontId="3" fillId="4" borderId="16" xfId="13" applyFill="1" applyBorder="1"/>
    <xf numFmtId="0" fontId="0" fillId="4" borderId="17" xfId="0" applyFill="1" applyBorder="1"/>
    <xf numFmtId="4" fontId="4" fillId="3" borderId="0" xfId="9" applyNumberFormat="1" applyFont="1" applyFill="1"/>
    <xf numFmtId="3" fontId="4" fillId="3" borderId="0" xfId="9" applyNumberFormat="1" applyFont="1" applyFill="1"/>
    <xf numFmtId="3" fontId="4" fillId="3" borderId="0" xfId="9" applyNumberFormat="1" applyFont="1" applyFill="1" applyAlignment="1">
      <alignment horizontal="center" vertical="center"/>
    </xf>
    <xf numFmtId="3" fontId="0" fillId="0" borderId="0" xfId="0" applyNumberFormat="1"/>
    <xf numFmtId="174" fontId="4" fillId="3" borderId="0" xfId="9" applyNumberFormat="1" applyFont="1" applyFill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10" fontId="29" fillId="6" borderId="0" xfId="0" applyNumberFormat="1" applyFont="1" applyFill="1" applyAlignment="1">
      <alignment vertical="center"/>
    </xf>
    <xf numFmtId="10" fontId="29" fillId="6" borderId="0" xfId="3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10" fontId="30" fillId="4" borderId="0" xfId="0" applyNumberFormat="1" applyFont="1" applyFill="1" applyAlignment="1">
      <alignment horizontal="center" vertical="center"/>
    </xf>
    <xf numFmtId="17" fontId="13" fillId="4" borderId="0" xfId="0" applyNumberFormat="1" applyFont="1" applyFill="1" applyAlignment="1">
      <alignment horizontal="center" vertical="center"/>
    </xf>
    <xf numFmtId="3" fontId="13" fillId="4" borderId="0" xfId="2" applyNumberFormat="1" applyFont="1" applyFill="1" applyBorder="1" applyAlignment="1">
      <alignment vertical="center"/>
    </xf>
    <xf numFmtId="10" fontId="0" fillId="0" borderId="0" xfId="0" applyNumberFormat="1"/>
    <xf numFmtId="0" fontId="31" fillId="0" borderId="0" xfId="0" applyFont="1" applyAlignment="1">
      <alignment vertical="center" wrapText="1"/>
    </xf>
    <xf numFmtId="0" fontId="33" fillId="4" borderId="0" xfId="0" applyFont="1" applyFill="1" applyAlignment="1">
      <alignment horizontal="center" vertical="center"/>
    </xf>
    <xf numFmtId="0" fontId="0" fillId="10" borderId="0" xfId="0" applyFill="1"/>
    <xf numFmtId="49" fontId="35" fillId="4" borderId="0" xfId="2" applyNumberFormat="1" applyFont="1" applyFill="1" applyBorder="1" applyAlignment="1"/>
    <xf numFmtId="49" fontId="36" fillId="4" borderId="0" xfId="2" applyNumberFormat="1" applyFont="1" applyFill="1" applyBorder="1" applyAlignment="1"/>
    <xf numFmtId="0" fontId="34" fillId="4" borderId="0" xfId="0" applyFont="1" applyFill="1" applyAlignment="1">
      <alignment vertical="center"/>
    </xf>
    <xf numFmtId="0" fontId="19" fillId="0" borderId="0" xfId="0" applyFont="1" applyAlignment="1">
      <alignment wrapText="1"/>
    </xf>
    <xf numFmtId="10" fontId="19" fillId="0" borderId="0" xfId="3" applyNumberFormat="1" applyFont="1"/>
    <xf numFmtId="3" fontId="19" fillId="0" borderId="0" xfId="0" applyNumberFormat="1" applyFont="1"/>
    <xf numFmtId="0" fontId="37" fillId="0" borderId="0" xfId="0" applyFont="1"/>
    <xf numFmtId="173" fontId="13" fillId="3" borderId="0" xfId="0" applyNumberFormat="1" applyFont="1" applyFill="1" applyAlignment="1">
      <alignment horizontal="left" wrapText="1"/>
    </xf>
    <xf numFmtId="10" fontId="4" fillId="0" borderId="0" xfId="3" applyNumberFormat="1" applyFont="1" applyAlignment="1">
      <alignment vertical="center"/>
    </xf>
    <xf numFmtId="0" fontId="38" fillId="0" borderId="0" xfId="0" applyFont="1" applyAlignment="1">
      <alignment vertical="center" wrapText="1"/>
    </xf>
    <xf numFmtId="0" fontId="22" fillId="0" borderId="0" xfId="0" applyFont="1" applyAlignment="1">
      <alignment horizontal="left"/>
    </xf>
    <xf numFmtId="43" fontId="19" fillId="0" borderId="0" xfId="1" applyFont="1"/>
    <xf numFmtId="3" fontId="22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42" fillId="0" borderId="0" xfId="0" applyFont="1"/>
    <xf numFmtId="169" fontId="35" fillId="4" borderId="0" xfId="0" applyNumberFormat="1" applyFont="1" applyFill="1" applyAlignment="1">
      <alignment horizontal="center" wrapText="1"/>
    </xf>
    <xf numFmtId="17" fontId="35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9" fillId="4" borderId="0" xfId="0" applyFont="1" applyFill="1"/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173" fontId="35" fillId="4" borderId="0" xfId="0" applyNumberFormat="1" applyFont="1" applyFill="1" applyAlignment="1">
      <alignment wrapText="1"/>
    </xf>
    <xf numFmtId="43" fontId="35" fillId="4" borderId="0" xfId="1" applyFont="1" applyFill="1" applyBorder="1" applyAlignment="1" applyProtection="1">
      <alignment horizontal="right"/>
      <protection locked="0"/>
    </xf>
    <xf numFmtId="0" fontId="19" fillId="4" borderId="0" xfId="0" applyFont="1" applyFill="1" applyAlignment="1">
      <alignment wrapText="1"/>
    </xf>
    <xf numFmtId="3" fontId="35" fillId="4" borderId="0" xfId="2" applyNumberFormat="1" applyFont="1" applyFill="1" applyBorder="1" applyAlignment="1" applyProtection="1">
      <alignment horizontal="right"/>
      <protection locked="0"/>
    </xf>
    <xf numFmtId="10" fontId="19" fillId="4" borderId="0" xfId="3" applyNumberFormat="1" applyFont="1" applyFill="1" applyBorder="1"/>
    <xf numFmtId="0" fontId="2" fillId="4" borderId="0" xfId="0" applyFont="1" applyFill="1" applyAlignment="1">
      <alignment horizontal="center" vertical="center"/>
    </xf>
    <xf numFmtId="43" fontId="2" fillId="4" borderId="0" xfId="1" applyFont="1" applyFill="1" applyBorder="1" applyAlignment="1">
      <alignment vertical="center"/>
    </xf>
    <xf numFmtId="10" fontId="2" fillId="4" borderId="0" xfId="3" applyNumberFormat="1" applyFont="1" applyFill="1" applyBorder="1" applyAlignment="1">
      <alignment vertical="center"/>
    </xf>
    <xf numFmtId="0" fontId="21" fillId="4" borderId="0" xfId="0" applyFont="1" applyFill="1"/>
    <xf numFmtId="0" fontId="42" fillId="4" borderId="0" xfId="0" applyFont="1" applyFill="1"/>
    <xf numFmtId="0" fontId="37" fillId="4" borderId="0" xfId="0" applyFont="1" applyFill="1"/>
    <xf numFmtId="166" fontId="19" fillId="4" borderId="0" xfId="0" applyNumberFormat="1" applyFont="1" applyFill="1"/>
    <xf numFmtId="173" fontId="13" fillId="4" borderId="0" xfId="0" applyNumberFormat="1" applyFont="1" applyFill="1" applyAlignment="1">
      <alignment horizontal="left" wrapText="1"/>
    </xf>
    <xf numFmtId="43" fontId="35" fillId="4" borderId="0" xfId="1" applyFont="1" applyFill="1" applyBorder="1" applyAlignment="1">
      <alignment horizontal="center" vertical="center" wrapText="1"/>
    </xf>
    <xf numFmtId="49" fontId="36" fillId="4" borderId="0" xfId="2" applyNumberFormat="1" applyFont="1" applyFill="1" applyBorder="1" applyAlignment="1">
      <alignment horizontal="left"/>
    </xf>
    <xf numFmtId="0" fontId="6" fillId="4" borderId="0" xfId="0" applyFont="1" applyFill="1" applyAlignment="1">
      <alignment vertical="top"/>
    </xf>
    <xf numFmtId="0" fontId="43" fillId="0" borderId="0" xfId="0" applyFont="1" applyAlignment="1">
      <alignment horizontal="center" vertical="center" readingOrder="1"/>
    </xf>
    <xf numFmtId="43" fontId="0" fillId="4" borderId="0" xfId="0" applyNumberFormat="1" applyFill="1"/>
    <xf numFmtId="3" fontId="23" fillId="4" borderId="0" xfId="4" applyNumberFormat="1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3" fontId="0" fillId="4" borderId="0" xfId="0" applyNumberFormat="1" applyFill="1"/>
    <xf numFmtId="0" fontId="4" fillId="4" borderId="0" xfId="0" applyFont="1" applyFill="1"/>
    <xf numFmtId="0" fontId="4" fillId="4" borderId="0" xfId="9" applyFont="1" applyFill="1"/>
    <xf numFmtId="10" fontId="34" fillId="4" borderId="0" xfId="3" applyNumberFormat="1" applyFont="1" applyFill="1" applyBorder="1" applyAlignment="1">
      <alignment horizontal="right" vertical="center"/>
    </xf>
    <xf numFmtId="165" fontId="14" fillId="4" borderId="0" xfId="0" applyNumberFormat="1" applyFont="1" applyFill="1" applyAlignment="1">
      <alignment vertical="center"/>
    </xf>
    <xf numFmtId="0" fontId="43" fillId="0" borderId="0" xfId="0" applyFont="1" applyAlignment="1">
      <alignment horizontal="left" vertical="center" readingOrder="1"/>
    </xf>
    <xf numFmtId="0" fontId="5" fillId="10" borderId="0" xfId="0" applyFont="1" applyFill="1" applyAlignment="1">
      <alignment vertical="top"/>
    </xf>
    <xf numFmtId="0" fontId="6" fillId="10" borderId="0" xfId="0" applyFont="1" applyFill="1" applyAlignment="1">
      <alignment vertical="top"/>
    </xf>
    <xf numFmtId="10" fontId="17" fillId="0" borderId="0" xfId="1" applyNumberFormat="1" applyFont="1" applyAlignment="1"/>
    <xf numFmtId="0" fontId="9" fillId="0" borderId="0" xfId="0" applyFont="1"/>
    <xf numFmtId="167" fontId="4" fillId="4" borderId="0" xfId="1" applyNumberFormat="1" applyFont="1" applyFill="1" applyBorder="1" applyAlignment="1">
      <alignment horizontal="center" vertical="center"/>
    </xf>
    <xf numFmtId="2" fontId="16" fillId="4" borderId="0" xfId="9" applyNumberFormat="1" applyFont="1" applyFill="1"/>
    <xf numFmtId="3" fontId="13" fillId="4" borderId="0" xfId="2" applyNumberFormat="1" applyFont="1" applyFill="1" applyBorder="1" applyAlignment="1">
      <alignment horizontal="right" vertical="center"/>
    </xf>
    <xf numFmtId="0" fontId="4" fillId="4" borderId="0" xfId="9" applyFont="1" applyFill="1" applyAlignment="1">
      <alignment horizontal="center" vertical="center"/>
    </xf>
    <xf numFmtId="4" fontId="4" fillId="4" borderId="0" xfId="9" applyNumberFormat="1" applyFont="1" applyFill="1"/>
    <xf numFmtId="43" fontId="4" fillId="4" borderId="0" xfId="3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 readingOrder="1"/>
    </xf>
    <xf numFmtId="0" fontId="4" fillId="10" borderId="0" xfId="9" applyFont="1" applyFill="1"/>
    <xf numFmtId="0" fontId="4" fillId="10" borderId="0" xfId="0" applyFont="1" applyFill="1"/>
    <xf numFmtId="0" fontId="6" fillId="10" borderId="0" xfId="0" applyFont="1" applyFill="1" applyAlignment="1">
      <alignment vertical="center"/>
    </xf>
    <xf numFmtId="0" fontId="19" fillId="10" borderId="0" xfId="0" applyFont="1" applyFill="1"/>
    <xf numFmtId="0" fontId="39" fillId="10" borderId="0" xfId="0" applyFont="1" applyFill="1" applyAlignment="1">
      <alignment vertical="center"/>
    </xf>
    <xf numFmtId="0" fontId="46" fillId="0" borderId="0" xfId="0" applyFont="1" applyAlignment="1">
      <alignment horizontal="center" vertical="center" wrapText="1"/>
    </xf>
    <xf numFmtId="164" fontId="46" fillId="0" borderId="0" xfId="0" applyNumberFormat="1" applyFont="1" applyAlignment="1">
      <alignment horizontal="center" vertical="center"/>
    </xf>
    <xf numFmtId="179" fontId="46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164" fontId="44" fillId="0" borderId="0" xfId="0" applyNumberFormat="1" applyFont="1" applyAlignment="1">
      <alignment horizontal="left" vertical="center"/>
    </xf>
    <xf numFmtId="179" fontId="44" fillId="0" borderId="0" xfId="0" applyNumberFormat="1" applyFont="1" applyAlignment="1">
      <alignment horizontal="left" vertical="center"/>
    </xf>
    <xf numFmtId="17" fontId="48" fillId="4" borderId="0" xfId="18" applyNumberFormat="1" applyFont="1" applyFill="1" applyAlignment="1">
      <alignment horizontal="left" vertical="top"/>
    </xf>
    <xf numFmtId="0" fontId="5" fillId="0" borderId="0" xfId="0" applyFont="1"/>
    <xf numFmtId="0" fontId="49" fillId="0" borderId="0" xfId="0" applyFont="1"/>
    <xf numFmtId="43" fontId="49" fillId="0" borderId="0" xfId="0" applyNumberFormat="1" applyFont="1"/>
    <xf numFmtId="0" fontId="50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35" fillId="0" borderId="0" xfId="0" applyFont="1"/>
    <xf numFmtId="43" fontId="51" fillId="4" borderId="0" xfId="1" applyFont="1" applyFill="1" applyAlignment="1">
      <alignment vertical="top"/>
    </xf>
    <xf numFmtId="0" fontId="43" fillId="4" borderId="0" xfId="0" applyFont="1" applyFill="1" applyAlignment="1">
      <alignment horizontal="left" vertical="center" readingOrder="1"/>
    </xf>
    <xf numFmtId="167" fontId="0" fillId="4" borderId="0" xfId="0" applyNumberFormat="1" applyFill="1"/>
    <xf numFmtId="177" fontId="0" fillId="4" borderId="0" xfId="0" applyNumberFormat="1" applyFill="1"/>
    <xf numFmtId="172" fontId="0" fillId="0" borderId="0" xfId="0" applyNumberFormat="1"/>
    <xf numFmtId="180" fontId="0" fillId="0" borderId="0" xfId="0" applyNumberFormat="1"/>
    <xf numFmtId="172" fontId="4" fillId="3" borderId="0" xfId="3" applyNumberFormat="1" applyFont="1" applyFill="1" applyAlignment="1">
      <alignment horizontal="center" vertical="center"/>
    </xf>
    <xf numFmtId="10" fontId="3" fillId="4" borderId="0" xfId="3" applyNumberFormat="1" applyFont="1" applyFill="1" applyAlignment="1">
      <alignment vertical="center"/>
    </xf>
    <xf numFmtId="177" fontId="3" fillId="4" borderId="0" xfId="13" applyNumberForma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4" fontId="34" fillId="4" borderId="0" xfId="0" applyNumberFormat="1" applyFont="1" applyFill="1" applyAlignment="1">
      <alignment horizontal="right" vertical="center"/>
    </xf>
    <xf numFmtId="17" fontId="2" fillId="4" borderId="0" xfId="0" applyNumberFormat="1" applyFont="1" applyFill="1" applyAlignment="1">
      <alignment horizontal="center"/>
    </xf>
    <xf numFmtId="165" fontId="2" fillId="4" borderId="0" xfId="2" applyNumberFormat="1" applyFont="1" applyFill="1" applyBorder="1" applyAlignment="1">
      <alignment horizontal="right"/>
    </xf>
    <xf numFmtId="17" fontId="19" fillId="0" borderId="0" xfId="0" applyNumberFormat="1" applyFont="1"/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top"/>
    </xf>
    <xf numFmtId="43" fontId="7" fillId="4" borderId="0" xfId="1" applyFont="1" applyFill="1" applyAlignment="1">
      <alignment horizontal="center" vertical="center"/>
    </xf>
    <xf numFmtId="9" fontId="5" fillId="4" borderId="0" xfId="0" applyNumberFormat="1" applyFont="1" applyFill="1" applyAlignment="1">
      <alignment vertical="top"/>
    </xf>
    <xf numFmtId="9" fontId="5" fillId="4" borderId="0" xfId="0" applyNumberFormat="1" applyFont="1" applyFill="1" applyAlignment="1">
      <alignment horizontal="center" vertical="top"/>
    </xf>
    <xf numFmtId="43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43" fontId="13" fillId="4" borderId="0" xfId="1" applyFont="1" applyFill="1" applyAlignment="1">
      <alignment vertical="top"/>
    </xf>
    <xf numFmtId="167" fontId="4" fillId="3" borderId="0" xfId="1" applyNumberFormat="1" applyFont="1" applyFill="1" applyAlignment="1">
      <alignment vertical="center"/>
    </xf>
    <xf numFmtId="9" fontId="43" fillId="0" borderId="0" xfId="3" applyFont="1" applyAlignment="1">
      <alignment vertical="center" readingOrder="1"/>
    </xf>
    <xf numFmtId="43" fontId="43" fillId="0" borderId="0" xfId="1" applyFont="1" applyAlignment="1">
      <alignment vertical="center" readingOrder="1"/>
    </xf>
    <xf numFmtId="10" fontId="4" fillId="3" borderId="0" xfId="3" applyNumberFormat="1" applyFont="1" applyFill="1" applyAlignment="1">
      <alignment vertical="center"/>
    </xf>
    <xf numFmtId="43" fontId="4" fillId="3" borderId="0" xfId="1" applyFont="1" applyFill="1"/>
    <xf numFmtId="167" fontId="19" fillId="0" borderId="0" xfId="1" applyNumberFormat="1" applyFont="1"/>
    <xf numFmtId="9" fontId="3" fillId="4" borderId="0" xfId="3" applyFont="1" applyFill="1" applyAlignment="1">
      <alignment vertical="center"/>
    </xf>
    <xf numFmtId="10" fontId="4" fillId="4" borderId="0" xfId="9" applyNumberFormat="1" applyFont="1" applyFill="1"/>
    <xf numFmtId="10" fontId="4" fillId="3" borderId="0" xfId="9" applyNumberFormat="1" applyFont="1" applyFill="1"/>
    <xf numFmtId="167" fontId="19" fillId="0" borderId="0" xfId="0" applyNumberFormat="1" applyFont="1"/>
    <xf numFmtId="10" fontId="49" fillId="0" borderId="0" xfId="0" applyNumberFormat="1" applyFont="1"/>
    <xf numFmtId="10" fontId="50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10" fontId="49" fillId="0" borderId="0" xfId="0" applyNumberFormat="1" applyFont="1" applyAlignment="1">
      <alignment vertical="center"/>
    </xf>
    <xf numFmtId="43" fontId="1" fillId="0" borderId="0" xfId="1" applyFont="1"/>
    <xf numFmtId="3" fontId="1" fillId="0" borderId="0" xfId="2" applyNumberFormat="1" applyFont="1" applyFill="1" applyBorder="1" applyAlignment="1" applyProtection="1">
      <alignment horizontal="right"/>
      <protection locked="0"/>
    </xf>
    <xf numFmtId="43" fontId="55" fillId="0" borderId="0" xfId="1" applyFont="1" applyAlignment="1">
      <alignment vertical="center" wrapText="1"/>
    </xf>
    <xf numFmtId="43" fontId="1" fillId="0" borderId="0" xfId="1" applyFont="1" applyAlignment="1">
      <alignment horizontal="left"/>
    </xf>
    <xf numFmtId="3" fontId="0" fillId="0" borderId="0" xfId="0" applyNumberFormat="1" applyAlignment="1">
      <alignment horizontal="left"/>
    </xf>
    <xf numFmtId="20" fontId="0" fillId="0" borderId="0" xfId="0" applyNumberFormat="1"/>
    <xf numFmtId="181" fontId="49" fillId="0" borderId="0" xfId="0" applyNumberFormat="1" applyFont="1"/>
    <xf numFmtId="43" fontId="49" fillId="0" borderId="0" xfId="1" applyFont="1" applyAlignment="1">
      <alignment vertical="center"/>
    </xf>
    <xf numFmtId="4" fontId="49" fillId="0" borderId="0" xfId="0" applyNumberFormat="1" applyFont="1"/>
    <xf numFmtId="9" fontId="0" fillId="0" borderId="0" xfId="3" applyFont="1"/>
    <xf numFmtId="4" fontId="0" fillId="4" borderId="0" xfId="0" applyNumberFormat="1" applyFill="1"/>
    <xf numFmtId="176" fontId="0" fillId="4" borderId="0" xfId="0" applyNumberFormat="1" applyFill="1"/>
    <xf numFmtId="0" fontId="0" fillId="4" borderId="0" xfId="0" applyFill="1" applyAlignment="1">
      <alignment horizontal="center" vertical="center"/>
    </xf>
    <xf numFmtId="0" fontId="56" fillId="0" borderId="0" xfId="18" applyFont="1" applyFill="1"/>
    <xf numFmtId="2" fontId="3" fillId="4" borderId="0" xfId="9" applyNumberFormat="1" applyFont="1" applyFill="1"/>
    <xf numFmtId="0" fontId="5" fillId="3" borderId="0" xfId="0" applyFont="1" applyFill="1"/>
    <xf numFmtId="0" fontId="5" fillId="4" borderId="0" xfId="9" applyFont="1" applyFill="1"/>
    <xf numFmtId="0" fontId="5" fillId="3" borderId="0" xfId="9" applyFont="1" applyFill="1"/>
    <xf numFmtId="8" fontId="5" fillId="3" borderId="0" xfId="9" applyNumberFormat="1" applyFont="1" applyFill="1"/>
    <xf numFmtId="10" fontId="5" fillId="4" borderId="0" xfId="3" applyNumberFormat="1" applyFont="1" applyFill="1" applyBorder="1"/>
    <xf numFmtId="0" fontId="5" fillId="3" borderId="0" xfId="9" applyFont="1" applyFill="1" applyAlignment="1">
      <alignment horizontal="center" vertical="center"/>
    </xf>
    <xf numFmtId="174" fontId="5" fillId="4" borderId="0" xfId="9" applyNumberFormat="1" applyFont="1" applyFill="1"/>
    <xf numFmtId="174" fontId="5" fillId="4" borderId="0" xfId="9" applyNumberFormat="1" applyFont="1" applyFill="1" applyAlignment="1">
      <alignment horizontal="left"/>
    </xf>
    <xf numFmtId="10" fontId="5" fillId="4" borderId="0" xfId="3" applyNumberFormat="1" applyFont="1" applyFill="1" applyBorder="1" applyAlignment="1">
      <alignment horizontal="center" vertical="center"/>
    </xf>
    <xf numFmtId="0" fontId="5" fillId="4" borderId="0" xfId="0" applyFont="1" applyFill="1"/>
    <xf numFmtId="0" fontId="13" fillId="4" borderId="0" xfId="0" applyFont="1" applyFill="1"/>
    <xf numFmtId="10" fontId="59" fillId="4" borderId="0" xfId="0" applyNumberFormat="1" applyFont="1" applyFill="1" applyAlignment="1">
      <alignment horizontal="center" vertical="center"/>
    </xf>
    <xf numFmtId="0" fontId="13" fillId="0" borderId="0" xfId="0" applyFont="1"/>
    <xf numFmtId="10" fontId="59" fillId="6" borderId="0" xfId="3" applyNumberFormat="1" applyFont="1" applyFill="1" applyBorder="1" applyAlignment="1">
      <alignment horizontal="center" vertical="center"/>
    </xf>
    <xf numFmtId="0" fontId="16" fillId="0" borderId="0" xfId="0" applyFont="1"/>
    <xf numFmtId="0" fontId="16" fillId="3" borderId="0" xfId="9" applyFont="1" applyFill="1"/>
    <xf numFmtId="0" fontId="60" fillId="0" borderId="0" xfId="0" applyFont="1"/>
    <xf numFmtId="0" fontId="5" fillId="4" borderId="0" xfId="0" applyFont="1" applyFill="1" applyAlignment="1">
      <alignment horizontal="left" vertical="center"/>
    </xf>
    <xf numFmtId="0" fontId="61" fillId="0" borderId="0" xfId="0" applyFont="1"/>
    <xf numFmtId="0" fontId="14" fillId="4" borderId="0" xfId="0" applyFont="1" applyFill="1" applyAlignment="1">
      <alignment horizontal="left" vertical="center" wrapText="1"/>
    </xf>
    <xf numFmtId="3" fontId="14" fillId="4" borderId="0" xfId="0" applyNumberFormat="1" applyFont="1" applyFill="1" applyAlignment="1">
      <alignment horizontal="right" vertical="center"/>
    </xf>
    <xf numFmtId="0" fontId="4" fillId="0" borderId="0" xfId="9" applyFont="1"/>
    <xf numFmtId="0" fontId="4" fillId="0" borderId="0" xfId="9" applyFont="1" applyAlignment="1">
      <alignment horizontal="center" vertical="center"/>
    </xf>
    <xf numFmtId="0" fontId="2" fillId="10" borderId="1" xfId="4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4" fontId="13" fillId="4" borderId="1" xfId="2" applyNumberFormat="1" applyFont="1" applyFill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/>
    </xf>
    <xf numFmtId="17" fontId="13" fillId="0" borderId="1" xfId="0" applyNumberFormat="1" applyFont="1" applyBorder="1" applyAlignment="1">
      <alignment horizontal="center"/>
    </xf>
    <xf numFmtId="3" fontId="13" fillId="4" borderId="1" xfId="2" applyNumberFormat="1" applyFont="1" applyFill="1" applyBorder="1" applyAlignment="1">
      <alignment horizontal="right"/>
    </xf>
    <xf numFmtId="17" fontId="2" fillId="10" borderId="1" xfId="0" applyNumberFormat="1" applyFont="1" applyFill="1" applyBorder="1" applyAlignment="1">
      <alignment horizontal="center" vertical="center"/>
    </xf>
    <xf numFmtId="165" fontId="2" fillId="10" borderId="1" xfId="2" applyNumberFormat="1" applyFont="1" applyFill="1" applyBorder="1" applyAlignment="1">
      <alignment horizontal="right" vertical="center"/>
    </xf>
    <xf numFmtId="0" fontId="15" fillId="10" borderId="1" xfId="0" applyFont="1" applyFill="1" applyBorder="1" applyAlignment="1">
      <alignment horizontal="center" vertical="center"/>
    </xf>
    <xf numFmtId="167" fontId="13" fillId="4" borderId="1" xfId="1" applyNumberFormat="1" applyFont="1" applyFill="1" applyBorder="1" applyAlignment="1">
      <alignment horizontal="right"/>
    </xf>
    <xf numFmtId="9" fontId="13" fillId="4" borderId="1" xfId="0" applyNumberFormat="1" applyFont="1" applyFill="1" applyBorder="1" applyAlignment="1">
      <alignment horizontal="right"/>
    </xf>
    <xf numFmtId="2" fontId="13" fillId="4" borderId="1" xfId="0" applyNumberFormat="1" applyFont="1" applyFill="1" applyBorder="1" applyAlignment="1">
      <alignment horizontal="right"/>
    </xf>
    <xf numFmtId="43" fontId="14" fillId="4" borderId="1" xfId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43" fontId="2" fillId="10" borderId="1" xfId="0" applyNumberFormat="1" applyFont="1" applyFill="1" applyBorder="1" applyAlignment="1">
      <alignment horizontal="center"/>
    </xf>
    <xf numFmtId="167" fontId="13" fillId="4" borderId="1" xfId="1" applyNumberFormat="1" applyFont="1" applyFill="1" applyBorder="1" applyAlignment="1" applyProtection="1">
      <alignment horizontal="center"/>
      <protection locked="0"/>
    </xf>
    <xf numFmtId="17" fontId="13" fillId="4" borderId="1" xfId="0" applyNumberFormat="1" applyFont="1" applyFill="1" applyBorder="1" applyAlignment="1">
      <alignment horizontal="center"/>
    </xf>
    <xf numFmtId="167" fontId="13" fillId="11" borderId="1" xfId="1" applyNumberFormat="1" applyFont="1" applyFill="1" applyBorder="1" applyAlignment="1">
      <alignment horizontal="center"/>
    </xf>
    <xf numFmtId="167" fontId="13" fillId="11" borderId="1" xfId="1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17" fontId="13" fillId="8" borderId="1" xfId="0" applyNumberFormat="1" applyFont="1" applyFill="1" applyBorder="1" applyAlignment="1">
      <alignment horizontal="left" vertical="center" wrapText="1"/>
    </xf>
    <xf numFmtId="3" fontId="13" fillId="0" borderId="1" xfId="8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 wrapText="1"/>
    </xf>
    <xf numFmtId="10" fontId="13" fillId="4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3" fontId="66" fillId="6" borderId="1" xfId="0" applyNumberFormat="1" applyFont="1" applyFill="1" applyBorder="1" applyAlignment="1">
      <alignment horizontal="center" vertical="center" wrapText="1"/>
    </xf>
    <xf numFmtId="10" fontId="66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0" fontId="13" fillId="4" borderId="1" xfId="3" applyNumberFormat="1" applyFont="1" applyFill="1" applyBorder="1" applyAlignment="1">
      <alignment horizontal="center" vertical="center" wrapText="1"/>
    </xf>
    <xf numFmtId="10" fontId="2" fillId="10" borderId="1" xfId="0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0" fontId="14" fillId="4" borderId="1" xfId="3" applyNumberFormat="1" applyFont="1" applyFill="1" applyBorder="1" applyAlignment="1">
      <alignment horizontal="center" vertical="center"/>
    </xf>
    <xf numFmtId="17" fontId="14" fillId="4" borderId="1" xfId="0" applyNumberFormat="1" applyFont="1" applyFill="1" applyBorder="1" applyAlignment="1">
      <alignment horizontal="center" vertical="center" wrapText="1"/>
    </xf>
    <xf numFmtId="170" fontId="14" fillId="4" borderId="1" xfId="0" applyNumberFormat="1" applyFont="1" applyFill="1" applyBorder="1" applyAlignment="1">
      <alignment horizontal="center" vertical="center" wrapText="1"/>
    </xf>
    <xf numFmtId="43" fontId="13" fillId="11" borderId="1" xfId="1" applyFont="1" applyFill="1" applyBorder="1" applyAlignment="1" applyProtection="1">
      <alignment horizontal="right"/>
      <protection locked="0"/>
    </xf>
    <xf numFmtId="10" fontId="2" fillId="10" borderId="1" xfId="3" applyNumberFormat="1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 wrapText="1"/>
    </xf>
    <xf numFmtId="169" fontId="13" fillId="4" borderId="1" xfId="0" applyNumberFormat="1" applyFont="1" applyFill="1" applyBorder="1" applyAlignment="1">
      <alignment horizontal="center" wrapText="1"/>
    </xf>
    <xf numFmtId="3" fontId="13" fillId="11" borderId="1" xfId="2" applyNumberFormat="1" applyFont="1" applyFill="1" applyBorder="1" applyAlignment="1" applyProtection="1">
      <alignment horizontal="right"/>
      <protection locked="0"/>
    </xf>
    <xf numFmtId="169" fontId="13" fillId="0" borderId="1" xfId="0" applyNumberFormat="1" applyFont="1" applyBorder="1" applyAlignment="1">
      <alignment horizontal="center" wrapText="1"/>
    </xf>
    <xf numFmtId="167" fontId="2" fillId="10" borderId="1" xfId="1" applyNumberFormat="1" applyFont="1" applyFill="1" applyBorder="1" applyAlignment="1">
      <alignment vertical="center"/>
    </xf>
    <xf numFmtId="167" fontId="2" fillId="10" borderId="1" xfId="0" applyNumberFormat="1" applyFont="1" applyFill="1" applyBorder="1" applyAlignment="1">
      <alignment horizontal="center" vertical="center"/>
    </xf>
    <xf numFmtId="43" fontId="13" fillId="4" borderId="1" xfId="1" applyFont="1" applyFill="1" applyBorder="1" applyAlignment="1">
      <alignment horizontal="center" vertical="center" wrapText="1"/>
    </xf>
    <xf numFmtId="167" fontId="13" fillId="4" borderId="1" xfId="1" applyNumberFormat="1" applyFont="1" applyFill="1" applyBorder="1" applyAlignment="1">
      <alignment horizontal="center" vertical="center" wrapText="1"/>
    </xf>
    <xf numFmtId="43" fontId="13" fillId="11" borderId="1" xfId="1" applyFont="1" applyFill="1" applyBorder="1" applyAlignment="1">
      <alignment horizontal="center" vertical="center"/>
    </xf>
    <xf numFmtId="10" fontId="2" fillId="10" borderId="1" xfId="3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7" fontId="17" fillId="1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3" fontId="13" fillId="11" borderId="1" xfId="0" applyNumberFormat="1" applyFont="1" applyFill="1" applyBorder="1"/>
    <xf numFmtId="3" fontId="2" fillId="12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3" fontId="13" fillId="4" borderId="1" xfId="2" applyNumberFormat="1" applyFont="1" applyFill="1" applyBorder="1" applyAlignment="1" applyProtection="1">
      <alignment horizontal="right"/>
      <protection locked="0"/>
    </xf>
    <xf numFmtId="3" fontId="13" fillId="4" borderId="1" xfId="0" applyNumberFormat="1" applyFont="1" applyFill="1" applyBorder="1"/>
    <xf numFmtId="3" fontId="2" fillId="10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>
      <alignment horizontal="left" vertical="center"/>
    </xf>
    <xf numFmtId="3" fontId="13" fillId="11" borderId="1" xfId="0" applyNumberFormat="1" applyFont="1" applyFill="1" applyBorder="1" applyAlignment="1">
      <alignment vertical="center"/>
    </xf>
    <xf numFmtId="172" fontId="2" fillId="10" borderId="1" xfId="1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43" fontId="2" fillId="10" borderId="1" xfId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vertical="center"/>
    </xf>
    <xf numFmtId="17" fontId="13" fillId="4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right" vertical="center"/>
    </xf>
    <xf numFmtId="17" fontId="53" fillId="10" borderId="1" xfId="0" applyNumberFormat="1" applyFont="1" applyFill="1" applyBorder="1" applyAlignment="1">
      <alignment horizontal="center" vertical="center"/>
    </xf>
    <xf numFmtId="170" fontId="2" fillId="10" borderId="1" xfId="0" applyNumberFormat="1" applyFont="1" applyFill="1" applyBorder="1" applyAlignment="1">
      <alignment horizontal="right" vertical="center" wrapText="1"/>
    </xf>
    <xf numFmtId="3" fontId="23" fillId="10" borderId="1" xfId="4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vertical="center"/>
    </xf>
    <xf numFmtId="0" fontId="17" fillId="10" borderId="1" xfId="0" applyFont="1" applyFill="1" applyBorder="1" applyAlignment="1">
      <alignment vertical="center"/>
    </xf>
    <xf numFmtId="43" fontId="17" fillId="10" borderId="1" xfId="1" applyFont="1" applyFill="1" applyBorder="1" applyAlignment="1">
      <alignment horizontal="center" vertical="center"/>
    </xf>
    <xf numFmtId="4" fontId="17" fillId="10" borderId="1" xfId="0" applyNumberFormat="1" applyFont="1" applyFill="1" applyBorder="1" applyAlignment="1">
      <alignment horizontal="center"/>
    </xf>
    <xf numFmtId="4" fontId="14" fillId="4" borderId="1" xfId="0" applyNumberFormat="1" applyFont="1" applyFill="1" applyBorder="1"/>
    <xf numFmtId="4" fontId="14" fillId="4" borderId="1" xfId="0" applyNumberFormat="1" applyFont="1" applyFill="1" applyBorder="1" applyAlignment="1">
      <alignment horizontal="center"/>
    </xf>
    <xf numFmtId="43" fontId="14" fillId="4" borderId="1" xfId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center"/>
    </xf>
    <xf numFmtId="3" fontId="13" fillId="4" borderId="1" xfId="0" applyNumberFormat="1" applyFont="1" applyFill="1" applyBorder="1" applyAlignment="1">
      <alignment horizontal="right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4" fillId="4" borderId="1" xfId="0" applyNumberFormat="1" applyFont="1" applyFill="1" applyBorder="1"/>
    <xf numFmtId="3" fontId="14" fillId="4" borderId="1" xfId="0" applyNumberFormat="1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right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/>
    <xf numFmtId="182" fontId="14" fillId="4" borderId="1" xfId="0" applyNumberFormat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left"/>
    </xf>
    <xf numFmtId="4" fontId="13" fillId="4" borderId="1" xfId="0" applyNumberFormat="1" applyFont="1" applyFill="1" applyBorder="1" applyAlignment="1">
      <alignment horizontal="center"/>
    </xf>
    <xf numFmtId="176" fontId="13" fillId="4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center"/>
    </xf>
    <xf numFmtId="3" fontId="13" fillId="11" borderId="1" xfId="0" applyNumberFormat="1" applyFont="1" applyFill="1" applyBorder="1" applyAlignment="1">
      <alignment horizontal="center"/>
    </xf>
    <xf numFmtId="176" fontId="13" fillId="11" borderId="1" xfId="0" applyNumberFormat="1" applyFont="1" applyFill="1" applyBorder="1" applyAlignment="1">
      <alignment horizontal="right"/>
    </xf>
    <xf numFmtId="176" fontId="14" fillId="11" borderId="1" xfId="0" applyNumberFormat="1" applyFont="1" applyFill="1" applyBorder="1" applyAlignment="1">
      <alignment horizontal="right"/>
    </xf>
    <xf numFmtId="0" fontId="2" fillId="10" borderId="1" xfId="0" applyFont="1" applyFill="1" applyBorder="1"/>
    <xf numFmtId="176" fontId="2" fillId="10" borderId="1" xfId="0" applyNumberFormat="1" applyFont="1" applyFill="1" applyBorder="1"/>
    <xf numFmtId="0" fontId="13" fillId="0" borderId="1" xfId="0" applyFont="1" applyBorder="1" applyAlignment="1">
      <alignment horizontal="center"/>
    </xf>
    <xf numFmtId="167" fontId="13" fillId="0" borderId="1" xfId="1" applyNumberFormat="1" applyFont="1" applyBorder="1"/>
    <xf numFmtId="10" fontId="13" fillId="0" borderId="1" xfId="3" applyNumberFormat="1" applyFont="1" applyBorder="1"/>
    <xf numFmtId="175" fontId="13" fillId="0" borderId="1" xfId="1" applyNumberFormat="1" applyFont="1" applyBorder="1"/>
    <xf numFmtId="167" fontId="2" fillId="10" borderId="1" xfId="1" applyNumberFormat="1" applyFont="1" applyFill="1" applyBorder="1"/>
    <xf numFmtId="175" fontId="2" fillId="10" borderId="1" xfId="1" applyNumberFormat="1" applyFont="1" applyFill="1" applyBorder="1"/>
    <xf numFmtId="183" fontId="2" fillId="10" borderId="1" xfId="0" applyNumberFormat="1" applyFont="1" applyFill="1" applyBorder="1" applyAlignment="1">
      <alignment horizontal="right" vertical="center" wrapText="1"/>
    </xf>
    <xf numFmtId="3" fontId="13" fillId="11" borderId="1" xfId="2" applyNumberFormat="1" applyFont="1" applyFill="1" applyBorder="1" applyAlignment="1">
      <alignment horizontal="right" vertical="center"/>
    </xf>
    <xf numFmtId="3" fontId="13" fillId="11" borderId="1" xfId="2" applyNumberFormat="1" applyFont="1" applyFill="1" applyBorder="1" applyAlignment="1">
      <alignment vertical="center"/>
    </xf>
    <xf numFmtId="165" fontId="13" fillId="11" borderId="1" xfId="2" applyNumberFormat="1" applyFont="1" applyFill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179" fontId="58" fillId="11" borderId="1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184" fontId="4" fillId="3" borderId="0" xfId="3" applyNumberFormat="1" applyFont="1" applyFill="1"/>
    <xf numFmtId="4" fontId="13" fillId="0" borderId="1" xfId="0" applyNumberFormat="1" applyFont="1" applyBorder="1" applyAlignment="1">
      <alignment horizontal="right" vertical="center"/>
    </xf>
    <xf numFmtId="10" fontId="17" fillId="0" borderId="0" xfId="3" applyNumberFormat="1" applyFont="1" applyAlignment="1">
      <alignment horizontal="center"/>
    </xf>
    <xf numFmtId="3" fontId="13" fillId="6" borderId="1" xfId="0" applyNumberFormat="1" applyFont="1" applyFill="1" applyBorder="1" applyAlignment="1">
      <alignment horizontal="right" vertical="center"/>
    </xf>
    <xf numFmtId="165" fontId="4" fillId="3" borderId="0" xfId="9" applyNumberFormat="1" applyFont="1" applyFill="1"/>
    <xf numFmtId="172" fontId="4" fillId="3" borderId="0" xfId="1" applyNumberFormat="1" applyFont="1" applyFill="1"/>
    <xf numFmtId="10" fontId="15" fillId="10" borderId="19" xfId="3" applyNumberFormat="1" applyFont="1" applyFill="1" applyBorder="1" applyAlignment="1">
      <alignment vertical="center"/>
    </xf>
    <xf numFmtId="185" fontId="49" fillId="0" borderId="0" xfId="1" applyNumberFormat="1" applyFont="1" applyAlignment="1">
      <alignment vertical="center"/>
    </xf>
    <xf numFmtId="186" fontId="49" fillId="0" borderId="0" xfId="0" applyNumberFormat="1" applyFont="1"/>
    <xf numFmtId="172" fontId="16" fillId="3" borderId="0" xfId="1" applyNumberFormat="1" applyFont="1" applyFill="1"/>
    <xf numFmtId="172" fontId="4" fillId="3" borderId="0" xfId="1" applyNumberFormat="1" applyFont="1" applyFill="1" applyAlignment="1">
      <alignment vertical="center"/>
    </xf>
    <xf numFmtId="170" fontId="5" fillId="0" borderId="0" xfId="0" applyNumberFormat="1" applyFont="1"/>
    <xf numFmtId="10" fontId="7" fillId="4" borderId="0" xfId="3" applyNumberFormat="1" applyFont="1" applyFill="1" applyAlignment="1">
      <alignment horizontal="center" vertical="center" wrapText="1"/>
    </xf>
    <xf numFmtId="10" fontId="5" fillId="0" borderId="0" xfId="3" applyNumberFormat="1" applyFont="1"/>
    <xf numFmtId="10" fontId="43" fillId="0" borderId="0" xfId="3" applyNumberFormat="1" applyFont="1" applyAlignment="1">
      <alignment vertical="center" readingOrder="1"/>
    </xf>
    <xf numFmtId="164" fontId="58" fillId="11" borderId="1" xfId="0" applyNumberFormat="1" applyFont="1" applyFill="1" applyBorder="1" applyAlignment="1">
      <alignment horizontal="center" vertical="center" wrapText="1"/>
    </xf>
    <xf numFmtId="10" fontId="68" fillId="4" borderId="0" xfId="3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 wrapText="1"/>
    </xf>
    <xf numFmtId="180" fontId="4" fillId="3" borderId="0" xfId="1" applyNumberFormat="1" applyFont="1" applyFill="1" applyAlignment="1">
      <alignment vertical="center"/>
    </xf>
    <xf numFmtId="10" fontId="4" fillId="0" borderId="0" xfId="3" applyNumberFormat="1" applyFont="1"/>
    <xf numFmtId="43" fontId="4" fillId="3" borderId="0" xfId="9" applyNumberFormat="1" applyFont="1" applyFill="1" applyAlignment="1">
      <alignment horizontal="center" vertical="center"/>
    </xf>
    <xf numFmtId="172" fontId="13" fillId="4" borderId="0" xfId="1" applyNumberFormat="1" applyFont="1" applyFill="1" applyBorder="1" applyAlignment="1">
      <alignment horizontal="right"/>
    </xf>
    <xf numFmtId="187" fontId="13" fillId="11" borderId="1" xfId="2" applyNumberFormat="1" applyFont="1" applyFill="1" applyBorder="1" applyAlignment="1">
      <alignment horizontal="center" vertical="center"/>
    </xf>
    <xf numFmtId="49" fontId="13" fillId="4" borderId="1" xfId="2" applyNumberFormat="1" applyFont="1" applyFill="1" applyBorder="1" applyAlignment="1">
      <alignment vertical="center"/>
    </xf>
    <xf numFmtId="49" fontId="13" fillId="11" borderId="1" xfId="2" applyNumberFormat="1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173" fontId="13" fillId="3" borderId="1" xfId="0" applyNumberFormat="1" applyFont="1" applyFill="1" applyBorder="1" applyAlignment="1">
      <alignment horizontal="left" wrapText="1"/>
    </xf>
    <xf numFmtId="0" fontId="17" fillId="10" borderId="1" xfId="0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left" vertical="center" wrapText="1"/>
    </xf>
    <xf numFmtId="0" fontId="62" fillId="0" borderId="7" xfId="0" applyFont="1" applyBorder="1" applyAlignment="1">
      <alignment horizontal="left" wrapText="1"/>
    </xf>
    <xf numFmtId="0" fontId="62" fillId="0" borderId="0" xfId="0" applyFont="1" applyAlignment="1">
      <alignment horizontal="left" wrapText="1"/>
    </xf>
    <xf numFmtId="0" fontId="2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63" fillId="0" borderId="1" xfId="0" applyFont="1" applyBorder="1"/>
    <xf numFmtId="0" fontId="15" fillId="10" borderId="1" xfId="0" applyFont="1" applyFill="1" applyBorder="1" applyAlignment="1">
      <alignment horizontal="center"/>
    </xf>
    <xf numFmtId="0" fontId="0" fillId="10" borderId="1" xfId="0" applyFill="1" applyBorder="1"/>
    <xf numFmtId="17" fontId="13" fillId="0" borderId="1" xfId="0" applyNumberFormat="1" applyFont="1" applyBorder="1" applyAlignment="1">
      <alignment horizontal="left" vertical="center"/>
    </xf>
    <xf numFmtId="17" fontId="13" fillId="0" borderId="1" xfId="0" applyNumberFormat="1" applyFont="1" applyBorder="1" applyAlignment="1">
      <alignment horizontal="left"/>
    </xf>
    <xf numFmtId="17" fontId="2" fillId="4" borderId="0" xfId="0" applyNumberFormat="1" applyFont="1" applyFill="1" applyAlignment="1">
      <alignment horizontal="center"/>
    </xf>
    <xf numFmtId="17" fontId="2" fillId="10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17" fillId="10" borderId="1" xfId="2" applyNumberFormat="1" applyFont="1" applyFill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0" fontId="2" fillId="10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10" borderId="1" xfId="0" applyFont="1" applyFill="1" applyBorder="1" applyAlignment="1">
      <alignment horizontal="center"/>
    </xf>
    <xf numFmtId="3" fontId="2" fillId="10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left" vertical="center"/>
    </xf>
    <xf numFmtId="17" fontId="53" fillId="10" borderId="18" xfId="0" applyNumberFormat="1" applyFont="1" applyFill="1" applyBorder="1" applyAlignment="1">
      <alignment horizontal="center" vertical="center"/>
    </xf>
    <xf numFmtId="17" fontId="53" fillId="10" borderId="19" xfId="0" applyNumberFormat="1" applyFont="1" applyFill="1" applyBorder="1" applyAlignment="1">
      <alignment horizontal="center" vertical="center"/>
    </xf>
    <xf numFmtId="17" fontId="64" fillId="4" borderId="18" xfId="0" applyNumberFormat="1" applyFont="1" applyFill="1" applyBorder="1" applyAlignment="1">
      <alignment horizontal="center" vertical="center"/>
    </xf>
    <xf numFmtId="17" fontId="64" fillId="4" borderId="19" xfId="0" applyNumberFormat="1" applyFont="1" applyFill="1" applyBorder="1" applyAlignment="1">
      <alignment horizontal="center" vertical="center"/>
    </xf>
    <xf numFmtId="17" fontId="13" fillId="4" borderId="18" xfId="0" applyNumberFormat="1" applyFont="1" applyFill="1" applyBorder="1" applyAlignment="1">
      <alignment horizontal="center" vertical="center"/>
    </xf>
    <xf numFmtId="17" fontId="13" fillId="4" borderId="19" xfId="0" applyNumberFormat="1" applyFont="1" applyFill="1" applyBorder="1" applyAlignment="1">
      <alignment horizontal="center" vertical="center"/>
    </xf>
    <xf numFmtId="10" fontId="15" fillId="10" borderId="1" xfId="3" applyNumberFormat="1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164" fontId="58" fillId="11" borderId="1" xfId="0" applyNumberFormat="1" applyFont="1" applyFill="1" applyBorder="1" applyAlignment="1">
      <alignment horizontal="center" vertical="center"/>
    </xf>
    <xf numFmtId="0" fontId="6" fillId="10" borderId="0" xfId="9" applyFont="1" applyFill="1" applyAlignment="1">
      <alignment horizontal="center" vertical="center"/>
    </xf>
    <xf numFmtId="0" fontId="57" fillId="4" borderId="0" xfId="0" applyFont="1" applyFill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center" wrapText="1"/>
    </xf>
    <xf numFmtId="164" fontId="58" fillId="11" borderId="1" xfId="0" applyNumberFormat="1" applyFont="1" applyFill="1" applyBorder="1" applyAlignment="1">
      <alignment horizontal="center" vertical="center" wrapText="1"/>
    </xf>
    <xf numFmtId="164" fontId="58" fillId="11" borderId="21" xfId="0" applyNumberFormat="1" applyFont="1" applyFill="1" applyBorder="1" applyAlignment="1">
      <alignment horizontal="center" vertical="center"/>
    </xf>
    <xf numFmtId="164" fontId="58" fillId="11" borderId="22" xfId="0" applyNumberFormat="1" applyFont="1" applyFill="1" applyBorder="1" applyAlignment="1">
      <alignment horizontal="center" vertical="center"/>
    </xf>
    <xf numFmtId="164" fontId="58" fillId="11" borderId="23" xfId="0" applyNumberFormat="1" applyFont="1" applyFill="1" applyBorder="1" applyAlignment="1">
      <alignment horizontal="center" vertical="center"/>
    </xf>
    <xf numFmtId="0" fontId="28" fillId="2" borderId="7" xfId="13" applyFont="1" applyFill="1" applyBorder="1" applyAlignment="1">
      <alignment horizontal="center" vertical="center"/>
    </xf>
  </cellXfs>
  <cellStyles count="25">
    <cellStyle name="Comma 2 2" xfId="11" xr:uid="{00000000-0005-0000-0000-000000000000}"/>
    <cellStyle name="Comma 2 2 2" xfId="21" xr:uid="{F95D9A09-EE7C-46A8-9B2D-EFDD277FEE1A}"/>
    <cellStyle name="Hiperlink" xfId="18" builtinId="8"/>
    <cellStyle name="Moeda" xfId="2" builtinId="4"/>
    <cellStyle name="Moeda 2" xfId="8" xr:uid="{00000000-0005-0000-0000-000003000000}"/>
    <cellStyle name="Moeda 3" xfId="12" xr:uid="{00000000-0005-0000-0000-000004000000}"/>
    <cellStyle name="Moeda 3 2" xfId="22" xr:uid="{8305A936-278A-46D0-A881-B27B22F9E6B6}"/>
    <cellStyle name="Moeda 4" xfId="20" xr:uid="{D95AADDB-6CCB-41D7-8D08-1B96E97E3548}"/>
    <cellStyle name="Normal" xfId="0" builtinId="0"/>
    <cellStyle name="Normal - Style1 2 2" xfId="10" xr:uid="{00000000-0005-0000-0000-000006000000}"/>
    <cellStyle name="Normal 12" xfId="13" xr:uid="{00000000-0005-0000-0000-000007000000}"/>
    <cellStyle name="Normal 2" xfId="9" xr:uid="{00000000-0005-0000-0000-000008000000}"/>
    <cellStyle name="Normal 2 2" xfId="14" xr:uid="{00000000-0005-0000-0000-000009000000}"/>
    <cellStyle name="Normal 4" xfId="4" xr:uid="{00000000-0005-0000-0000-00000A000000}"/>
    <cellStyle name="Normal 4 2" xfId="17" xr:uid="{33CCF34B-6E45-461F-9C81-66D8EF568FB1}"/>
    <cellStyle name="Normal 5" xfId="5" xr:uid="{00000000-0005-0000-0000-00000B000000}"/>
    <cellStyle name="Porcentagem" xfId="3" builtinId="5"/>
    <cellStyle name="Porcentagem 2" xfId="7" xr:uid="{00000000-0005-0000-0000-00000D000000}"/>
    <cellStyle name="Separador de milhares 3" xfId="6" xr:uid="{00000000-0005-0000-0000-00000E000000}"/>
    <cellStyle name="Separador de milhares 3 2" xfId="16" xr:uid="{00000000-0005-0000-0000-00000F000000}"/>
    <cellStyle name="Separador de milhares 3 2 2" xfId="24" xr:uid="{B456FC9E-A23B-4681-BC5A-BABDB76C3840}"/>
    <cellStyle name="Vírgula" xfId="1" builtinId="3"/>
    <cellStyle name="Vírgula 2" xfId="15" xr:uid="{00000000-0005-0000-0000-000011000000}"/>
    <cellStyle name="Vírgula 2 2" xfId="23" xr:uid="{F447A4BF-3B99-41EB-AAE6-A8B9F79CEB0D}"/>
    <cellStyle name="Vírgula 3" xfId="19" xr:uid="{57B2FF17-5F37-4A59-8727-34299D33D9E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accent1">
                    <a:lumMod val="75000"/>
                  </a:schemeClr>
                </a:solidFill>
              </a:rPr>
              <a:t>Variação dos indicadores inflacionários  (janeiro a dezembro de 2022 - em %)</a:t>
            </a:r>
          </a:p>
        </c:rich>
      </c:tx>
      <c:layout>
        <c:manualLayout>
          <c:xMode val="edge"/>
          <c:yMode val="edge"/>
          <c:x val="0.24226564047230439"/>
          <c:y val="1.249024199843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697083468241011"/>
          <c:y val="0.15538540016880523"/>
          <c:w val="0.7432329620214797"/>
          <c:h val="0.7034291573274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Índices_2022!$B$8</c:f>
              <c:strCache>
                <c:ptCount val="1"/>
                <c:pt idx="0">
                  <c:v>Índices de inflação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(Índices_2022!$E$9:$G$9,Índices_2022!$B$49)</c:f>
              <c:strCache>
                <c:ptCount val="4"/>
                <c:pt idx="0">
                  <c:v>INPC</c:v>
                </c:pt>
                <c:pt idx="1">
                  <c:v>IPCA</c:v>
                </c:pt>
                <c:pt idx="2">
                  <c:v>IGP-M</c:v>
                </c:pt>
                <c:pt idx="3">
                  <c:v>Δenergia</c:v>
                </c:pt>
              </c:strCache>
            </c:strRef>
          </c:cat>
          <c:val>
            <c:numRef>
              <c:f>(Índices_2022!$E$23:$G$23,Índices_2022!$H$49)</c:f>
              <c:numCache>
                <c:formatCode>0.00%</c:formatCode>
                <c:ptCount val="4"/>
                <c:pt idx="0">
                  <c:v>5.9324644306454788E-2</c:v>
                </c:pt>
                <c:pt idx="1">
                  <c:v>5.7850929078894886E-2</c:v>
                </c:pt>
                <c:pt idx="2">
                  <c:v>5.4512855725947995E-2</c:v>
                </c:pt>
                <c:pt idx="3">
                  <c:v>7.8208790126514494E-2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6-4F20-9BB1-4A3E33310B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1599887"/>
        <c:axId val="1242784383"/>
      </c:barChart>
      <c:catAx>
        <c:axId val="125159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84383"/>
        <c:crossesAt val="0"/>
        <c:auto val="1"/>
        <c:lblAlgn val="ctr"/>
        <c:lblOffset val="100"/>
        <c:noMultiLvlLbl val="0"/>
      </c:catAx>
      <c:valAx>
        <c:axId val="1242784383"/>
        <c:scaling>
          <c:orientation val="minMax"/>
          <c:max val="0.22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599887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354769102886"/>
          <c:y val="0.96126965437731493"/>
          <c:w val="0.2005321081068771"/>
          <c:h val="3.752569480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 sz="1400" i="1"/>
              <a:t>Quadro Resumo - Bônus-Desconto 2023 por Categoria</a:t>
            </a:r>
          </a:p>
        </c:rich>
      </c:tx>
      <c:layout>
        <c:manualLayout>
          <c:xMode val="edge"/>
          <c:yMode val="edge"/>
          <c:x val="0.23279333021376344"/>
          <c:y val="1.0008695733111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34241211651819"/>
          <c:y val="0.2110560776677109"/>
          <c:w val="0.56629009078783188"/>
          <c:h val="0.60507747015494029"/>
        </c:manualLayout>
      </c:layout>
      <c:pie3DChart>
        <c:varyColors val="1"/>
        <c:ser>
          <c:idx val="0"/>
          <c:order val="0"/>
          <c:tx>
            <c:strRef>
              <c:f>'Bônus-Desconto'!$H$9:$N$9</c:f>
              <c:strCache>
                <c:ptCount val="7"/>
                <c:pt idx="0">
                  <c:v>Quadro Resumo - 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spPr>
              <a:solidFill>
                <a:schemeClr val="tx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C2-4256-806E-C998CCE815CE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C2-4256-806E-C998CCE815CE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6AC2-4256-806E-C998CCE815CE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AC2-4256-806E-C998CCE815CE}"/>
              </c:ext>
            </c:extLst>
          </c:dPt>
          <c:dLbls>
            <c:dLbl>
              <c:idx val="0"/>
              <c:layout>
                <c:manualLayout>
                  <c:x val="-2.8308563340410475E-3"/>
                  <c:y val="1.53256704980842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2-4256-806E-C998CCE815CE}"/>
                </c:ext>
              </c:extLst>
            </c:dLbl>
            <c:dLbl>
              <c:idx val="1"/>
              <c:layout>
                <c:manualLayout>
                  <c:x val="2.8308563340410475E-3"/>
                  <c:y val="-4.98084291187739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C2-4256-806E-C998CCE815CE}"/>
                </c:ext>
              </c:extLst>
            </c:dLbl>
            <c:dLbl>
              <c:idx val="2"/>
              <c:layout>
                <c:manualLayout>
                  <c:x val="5.3503879278522848E-2"/>
                  <c:y val="1.37188496599214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C2-4256-806E-C998CCE815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'Bônus-Desconto'!$K$10:$N$10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'Bônus-Desconto'!$K$15:$N$15</c:f>
              <c:numCache>
                <c:formatCode>_(* #,##0.00_);_(* \(#,##0.00\);_(* "-"??_);_(@_)</c:formatCode>
                <c:ptCount val="4"/>
                <c:pt idx="0">
                  <c:v>8774797.9079999998</c:v>
                </c:pt>
                <c:pt idx="1">
                  <c:v>149030.9</c:v>
                </c:pt>
                <c:pt idx="2">
                  <c:v>1746597.888</c:v>
                </c:pt>
                <c:pt idx="3">
                  <c:v>48182.400000000001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2-4256-806E-C998CCE8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39957982959141"/>
          <c:y val="0.92768153980752388"/>
          <c:w val="0.49791532496998114"/>
          <c:h val="6.04842943019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Proporção dos custos da Parcela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81638195583513E-2"/>
          <c:y val="0.22780392156862744"/>
          <c:w val="0.83313613354700333"/>
          <c:h val="0.62366620348926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92B-41AA-B5CE-903D53418F23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92B-41AA-B5CE-903D53418F23}"/>
              </c:ext>
            </c:extLst>
          </c:dPt>
          <c:dPt>
            <c:idx val="2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92B-41AA-B5CE-903D53418F23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92B-41AA-B5CE-903D53418F23}"/>
              </c:ext>
            </c:extLst>
          </c:dPt>
          <c:dPt>
            <c:idx val="4"/>
            <c:bubble3D val="0"/>
            <c:explosion val="6"/>
            <c:spPr>
              <a:gradFill rotWithShape="1">
                <a:gsLst>
                  <a:gs pos="0">
                    <a:schemeClr val="accent1">
                      <a:tint val="54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54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5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92B-41AA-B5CE-903D53418F23}"/>
              </c:ext>
            </c:extLst>
          </c:dPt>
          <c:dLbls>
            <c:dLbl>
              <c:idx val="0"/>
              <c:layout>
                <c:manualLayout>
                  <c:x val="3.2478909640099321E-2"/>
                  <c:y val="3.6515670835263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B-41AA-B5CE-903D53418F23}"/>
                </c:ext>
              </c:extLst>
            </c:dLbl>
            <c:dLbl>
              <c:idx val="1"/>
              <c:layout>
                <c:manualLayout>
                  <c:x val="1.6212967382712717E-2"/>
                  <c:y val="-1.9256445885440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B-41AA-B5CE-903D53418F23}"/>
                </c:ext>
              </c:extLst>
            </c:dLbl>
            <c:dLbl>
              <c:idx val="2"/>
              <c:layout>
                <c:manualLayout>
                  <c:x val="-2.0580948473897361E-2"/>
                  <c:y val="1.71375636868920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2B-41AA-B5CE-903D53418F23}"/>
                </c:ext>
              </c:extLst>
            </c:dLbl>
            <c:dLbl>
              <c:idx val="3"/>
              <c:layout>
                <c:manualLayout>
                  <c:x val="4.7452348820679726E-3"/>
                  <c:y val="1.848571869692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2B-41AA-B5CE-903D53418F23}"/>
                </c:ext>
              </c:extLst>
            </c:dLbl>
            <c:dLbl>
              <c:idx val="4"/>
              <c:layout>
                <c:manualLayout>
                  <c:x val="-3.5300415761912216E-2"/>
                  <c:y val="2.4047861664350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2B-41AA-B5CE-903D53418F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'VPB 2023'!$B$11:$B$15</c:f>
              <c:strCache>
                <c:ptCount val="5"/>
                <c:pt idx="0">
                  <c:v>Pessoal</c:v>
                </c:pt>
                <c:pt idx="1">
                  <c:v>Energia Elétrica</c:v>
                </c:pt>
                <c:pt idx="2">
                  <c:v>Material </c:v>
                </c:pt>
                <c:pt idx="3">
                  <c:v>Remuneração dos Investimentos</c:v>
                </c:pt>
                <c:pt idx="4">
                  <c:v>Outros Custos</c:v>
                </c:pt>
              </c:strCache>
            </c:strRef>
          </c:cat>
          <c:val>
            <c:numRef>
              <c:f>'VPB 2023'!$D$11:$D$15</c:f>
              <c:numCache>
                <c:formatCode>#,##0</c:formatCode>
                <c:ptCount val="5"/>
                <c:pt idx="0">
                  <c:v>515403108.97827083</c:v>
                </c:pt>
                <c:pt idx="1">
                  <c:v>135923148.23295999</c:v>
                </c:pt>
                <c:pt idx="2">
                  <c:v>73053331.884937555</c:v>
                </c:pt>
                <c:pt idx="3">
                  <c:v>421844752.47166598</c:v>
                </c:pt>
                <c:pt idx="4">
                  <c:v>281380973.02853155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2B-41AA-B5CE-903D53418F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Variação dos indicadores inflacionários (jan a dez de 2022 - em %)</a:t>
            </a:r>
          </a:p>
        </c:rich>
      </c:tx>
      <c:layout>
        <c:manualLayout>
          <c:xMode val="edge"/>
          <c:yMode val="edge"/>
          <c:x val="0.16017130261286877"/>
          <c:y val="2.745098039215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1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828212762699339"/>
          <c:y val="0.16268346456692914"/>
          <c:w val="0.82656301930856457"/>
          <c:h val="0.62204600895476303"/>
        </c:manualLayout>
      </c:layout>
      <c:barChart>
        <c:barDir val="col"/>
        <c:grouping val="clustered"/>
        <c:varyColors val="0"/>
        <c:ser>
          <c:idx val="0"/>
          <c:order val="0"/>
          <c:tx>
            <c:v>Proporção de custo</c:v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2023'!$C$11,'VPB 2023'!$C$12,'VPB 2023'!$C$18,'VPB 2023'!$C$15)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('VPB 2023'!$E$11,'VPB 2023'!$E$12,'VPB 2023'!$E$18,'VPB 2023'!$E$15)</c:f>
              <c:numCache>
                <c:formatCode>0%</c:formatCode>
                <c:ptCount val="4"/>
                <c:pt idx="0">
                  <c:v>0.3610263310934741</c:v>
                </c:pt>
                <c:pt idx="1">
                  <c:v>9.5210592762040969E-2</c:v>
                </c:pt>
                <c:pt idx="2" formatCode="0.00%">
                  <c:v>0.34666310029570646</c:v>
                </c:pt>
                <c:pt idx="3">
                  <c:v>0.1970999758487785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2-4741-BF09-0FF3CDCE166C}"/>
            </c:ext>
          </c:extLst>
        </c:ser>
        <c:ser>
          <c:idx val="1"/>
          <c:order val="1"/>
          <c:tx>
            <c:v>Índices econômicos</c:v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2023'!$C$11,'VPB 2023'!$C$12,'VPB 2023'!$C$18,'VPB 2023'!$C$15)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(Índices_2022!$E$23,Índices_2022!$H$49,Índices_2022!$G$23,Índices_2022!$F$23)</c:f>
              <c:numCache>
                <c:formatCode>0.00%</c:formatCode>
                <c:ptCount val="4"/>
                <c:pt idx="0">
                  <c:v>5.9324644306454788E-2</c:v>
                </c:pt>
                <c:pt idx="1">
                  <c:v>7.8208790126514494E-2</c:v>
                </c:pt>
                <c:pt idx="2">
                  <c:v>5.4512855725947995E-2</c:v>
                </c:pt>
                <c:pt idx="3">
                  <c:v>5.7850929078894886E-2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2-4741-BF09-0FF3CDCE16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2643183"/>
        <c:axId val="1772966895"/>
      </c:barChart>
      <c:catAx>
        <c:axId val="189264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2966895"/>
        <c:crosses val="autoZero"/>
        <c:auto val="1"/>
        <c:lblAlgn val="ctr"/>
        <c:lblOffset val="100"/>
        <c:noMultiLvlLbl val="0"/>
      </c:catAx>
      <c:valAx>
        <c:axId val="177296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264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F - 2023'!A1"/><Relationship Id="rId13" Type="http://schemas.openxmlformats.org/officeDocument/2006/relationships/hyperlink" Target="#'Tarifas 2023'!A1"/><Relationship Id="rId3" Type="http://schemas.openxmlformats.org/officeDocument/2006/relationships/hyperlink" Target="#Par&#226;metros!A1"/><Relationship Id="rId7" Type="http://schemas.openxmlformats.org/officeDocument/2006/relationships/hyperlink" Target="#'RTA 2023'!A1"/><Relationship Id="rId12" Type="http://schemas.openxmlformats.org/officeDocument/2006/relationships/hyperlink" Target="#Volume_2022!A1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&#205;ndices_2022!A1"/><Relationship Id="rId11" Type="http://schemas.openxmlformats.org/officeDocument/2006/relationships/hyperlink" Target="#'VPA 2023'!A1"/><Relationship Id="rId5" Type="http://schemas.openxmlformats.org/officeDocument/2006/relationships/image" Target="../media/image4.svg"/><Relationship Id="rId10" Type="http://schemas.openxmlformats.org/officeDocument/2006/relationships/hyperlink" Target="#'VPB 2023'!A1"/><Relationship Id="rId4" Type="http://schemas.openxmlformats.org/officeDocument/2006/relationships/image" Target="../media/image3.png"/><Relationship Id="rId9" Type="http://schemas.openxmlformats.org/officeDocument/2006/relationships/hyperlink" Target="#'B&#244;nus-Desconto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F&#243;rmulas!A1"/><Relationship Id="rId13" Type="http://schemas.openxmlformats.org/officeDocument/2006/relationships/hyperlink" Target="#'VPA 2023'!A1"/><Relationship Id="rId3" Type="http://schemas.openxmlformats.org/officeDocument/2006/relationships/image" Target="../media/image17.png"/><Relationship Id="rId7" Type="http://schemas.openxmlformats.org/officeDocument/2006/relationships/image" Target="../media/image19.svg"/><Relationship Id="rId12" Type="http://schemas.openxmlformats.org/officeDocument/2006/relationships/hyperlink" Target="#'B&#244;nus-Desconto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3.png"/><Relationship Id="rId11" Type="http://schemas.openxmlformats.org/officeDocument/2006/relationships/hyperlink" Target="#'CF - 2023'!A1"/><Relationship Id="rId5" Type="http://schemas.openxmlformats.org/officeDocument/2006/relationships/hyperlink" Target="#'VPB 2023'!A1"/><Relationship Id="rId15" Type="http://schemas.openxmlformats.org/officeDocument/2006/relationships/hyperlink" Target="#'Tarifas 2023'!A1"/><Relationship Id="rId10" Type="http://schemas.openxmlformats.org/officeDocument/2006/relationships/hyperlink" Target="#'RTA 2023'!A1"/><Relationship Id="rId4" Type="http://schemas.openxmlformats.org/officeDocument/2006/relationships/image" Target="../media/image18.svg"/><Relationship Id="rId9" Type="http://schemas.openxmlformats.org/officeDocument/2006/relationships/hyperlink" Target="#&#205;ndices_2022!A1"/><Relationship Id="rId14" Type="http://schemas.openxmlformats.org/officeDocument/2006/relationships/hyperlink" Target="#Volume_2022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PB 2023'!A1"/><Relationship Id="rId3" Type="http://schemas.openxmlformats.org/officeDocument/2006/relationships/image" Target="../media/image6.svg"/><Relationship Id="rId7" Type="http://schemas.openxmlformats.org/officeDocument/2006/relationships/hyperlink" Target="#'B&#244;nus-Desconto'!A1"/><Relationship Id="rId2" Type="http://schemas.openxmlformats.org/officeDocument/2006/relationships/image" Target="../media/image5.png"/><Relationship Id="rId1" Type="http://schemas.openxmlformats.org/officeDocument/2006/relationships/hyperlink" Target="#F&#243;rmulas!A1"/><Relationship Id="rId6" Type="http://schemas.openxmlformats.org/officeDocument/2006/relationships/hyperlink" Target="#'CF - 2023'!A1"/><Relationship Id="rId11" Type="http://schemas.openxmlformats.org/officeDocument/2006/relationships/hyperlink" Target="#'Tarifas 2023'!A1"/><Relationship Id="rId5" Type="http://schemas.openxmlformats.org/officeDocument/2006/relationships/hyperlink" Target="#'RTA 2023'!A1"/><Relationship Id="rId10" Type="http://schemas.openxmlformats.org/officeDocument/2006/relationships/hyperlink" Target="#Volume_2022!A1"/><Relationship Id="rId4" Type="http://schemas.openxmlformats.org/officeDocument/2006/relationships/hyperlink" Target="#&#205;ndices_2022!A1"/><Relationship Id="rId9" Type="http://schemas.openxmlformats.org/officeDocument/2006/relationships/hyperlink" Target="#'VPA 2023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8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&#205;ndices_2022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10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hyperlink" Target="#&#205;ndices_2022!A1"/><Relationship Id="rId7" Type="http://schemas.openxmlformats.org/officeDocument/2006/relationships/hyperlink" Target="#F&#243;rmulas!A1"/><Relationship Id="rId12" Type="http://schemas.openxmlformats.org/officeDocument/2006/relationships/hyperlink" Target="#'VPA 2023'!A1"/><Relationship Id="rId2" Type="http://schemas.openxmlformats.org/officeDocument/2006/relationships/image" Target="../media/image12.svg"/><Relationship Id="rId1" Type="http://schemas.openxmlformats.org/officeDocument/2006/relationships/image" Target="../media/image11.png"/><Relationship Id="rId6" Type="http://schemas.openxmlformats.org/officeDocument/2006/relationships/chart" Target="../charts/chart1.xml"/><Relationship Id="rId11" Type="http://schemas.openxmlformats.org/officeDocument/2006/relationships/hyperlink" Target="#'VPB 2023'!A1"/><Relationship Id="rId5" Type="http://schemas.openxmlformats.org/officeDocument/2006/relationships/image" Target="../media/image14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13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15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B&#244;nus-Desconto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16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205;ndices_2022!A1"/><Relationship Id="rId13" Type="http://schemas.openxmlformats.org/officeDocument/2006/relationships/hyperlink" Target="#Volume_2022!A1"/><Relationship Id="rId3" Type="http://schemas.openxmlformats.org/officeDocument/2006/relationships/hyperlink" Target="#'B&#244;nus-Desconto'!A1"/><Relationship Id="rId7" Type="http://schemas.openxmlformats.org/officeDocument/2006/relationships/hyperlink" Target="#F&#243;rmulas!A1"/><Relationship Id="rId12" Type="http://schemas.openxmlformats.org/officeDocument/2006/relationships/hyperlink" Target="#'VPA 2023'!A1"/><Relationship Id="rId2" Type="http://schemas.openxmlformats.org/officeDocument/2006/relationships/image" Target="../media/image18.svg"/><Relationship Id="rId1" Type="http://schemas.openxmlformats.org/officeDocument/2006/relationships/image" Target="../media/image17.png"/><Relationship Id="rId6" Type="http://schemas.openxmlformats.org/officeDocument/2006/relationships/chart" Target="../charts/chart2.xml"/><Relationship Id="rId11" Type="http://schemas.openxmlformats.org/officeDocument/2006/relationships/hyperlink" Target="#'VPB 2023'!A1"/><Relationship Id="rId5" Type="http://schemas.openxmlformats.org/officeDocument/2006/relationships/image" Target="../media/image19.svg"/><Relationship Id="rId10" Type="http://schemas.openxmlformats.org/officeDocument/2006/relationships/hyperlink" Target="#'CF - 2023'!A1"/><Relationship Id="rId4" Type="http://schemas.openxmlformats.org/officeDocument/2006/relationships/image" Target="../media/image13.png"/><Relationship Id="rId9" Type="http://schemas.openxmlformats.org/officeDocument/2006/relationships/hyperlink" Target="#'RTA 2023'!A1"/><Relationship Id="rId14" Type="http://schemas.openxmlformats.org/officeDocument/2006/relationships/hyperlink" Target="#'Tarifas 2023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15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VPB 2023 - Gr&#225;ficos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20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6</xdr:row>
      <xdr:rowOff>14574</xdr:rowOff>
    </xdr:from>
    <xdr:to>
      <xdr:col>27</xdr:col>
      <xdr:colOff>304801</xdr:colOff>
      <xdr:row>11</xdr:row>
      <xdr:rowOff>152400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09D8245-97FC-4C85-A3DB-112AD695FF2D}"/>
            </a:ext>
          </a:extLst>
        </xdr:cNvPr>
        <xdr:cNvSpPr txBox="1"/>
      </xdr:nvSpPr>
      <xdr:spPr>
        <a:xfrm>
          <a:off x="304801" y="1062324"/>
          <a:ext cx="14849475" cy="109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Reajuste Tarifário Anual é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um dos mecanismos de atualização do valor das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tarifas de água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paga pelo usuário, aplicado anualmente, conforme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 prevista no contrato de concessão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Nº 001/2006-ADASA. A fórmula utilizada para a apuração do índice de reajuste tarifário busca preservar o poder aquisitivo da receita da empresa, que tende a ser impactado por pressões inflacionárias.</a:t>
          </a:r>
        </a:p>
        <a:p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FÓRMULAS:</a:t>
          </a:r>
        </a:p>
      </xdr:txBody>
    </xdr:sp>
    <xdr:clientData/>
  </xdr:twoCellAnchor>
  <xdr:oneCellAnchor>
    <xdr:from>
      <xdr:col>1</xdr:col>
      <xdr:colOff>153912</xdr:colOff>
      <xdr:row>11</xdr:row>
      <xdr:rowOff>150901</xdr:rowOff>
    </xdr:from>
    <xdr:ext cx="3390655" cy="576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5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𝑩𝑫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sSub>
                            <m:sSubPr>
                              <m:ctrlP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𝑻𝑨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𝑩𝑫</m:t>
                              </m:r>
                            </m:e>
                            <m:sub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𝑫𝑹𝑨</m:t>
                              </m:r>
                            </m:sub>
                          </m:s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+ 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</m:den>
                  </m:f>
                </m:oMath>
              </a14:m>
              <a:endParaRPr lang="pt-BR" sz="15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5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  (〖𝑻𝑨〗_𝑫𝑹𝑷  + 〖𝑻𝑨−𝑩𝑫〗_𝑫𝑹𝑷+ 〖𝑻𝑩〗_𝑫𝑹𝑷  + 〖𝑻𝑭〗_𝑫𝑹𝑷)/(〖𝑻𝑨〗_𝑫𝑹𝑨  + 〖〖𝑻𝑨−𝑩𝑫〗_𝑫𝑹𝑨+ 𝑻𝑩〗_𝑫𝑹𝑨  + 〖𝑻𝑭〗_𝑫𝑹𝑨 )</a:t>
              </a:r>
              <a:endParaRPr lang="pt-BR" sz="15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130175</xdr:colOff>
      <xdr:row>30</xdr:row>
      <xdr:rowOff>87500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𝑽𝑷𝑨</m:t>
                          </m:r>
                        </m:e>
                        <m:sub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〖𝑻𝑨〗_𝑫𝑹𝑷=  〖𝑽𝑷𝑨〗_𝑫𝑹𝑷/𝑴𝑹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288925</xdr:colOff>
      <xdr:row>31</xdr:row>
      <xdr:rowOff>33051</xdr:rowOff>
    </xdr:from>
    <xdr:ext cx="587375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〖𝑽𝑷𝑨〗_𝑫𝑹𝑷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92074</xdr:colOff>
      <xdr:row>35</xdr:row>
      <xdr:rowOff>156876</xdr:rowOff>
    </xdr:from>
    <xdr:ext cx="291041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𝑫𝑹𝑨</m:t>
                      </m:r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𝑰𝒓𝑩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−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𝑿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pt-BR" sz="11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〖𝑻𝑩〗_𝑫𝑹𝑷= 〖𝑻𝑩〗_(𝑫𝑹𝑨 )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×(𝑰𝒓𝑩 −𝑿)</a:t>
              </a:r>
              <a:endParaRPr lang="pt-BR" sz="11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250825</xdr:colOff>
      <xdr:row>35</xdr:row>
      <xdr:rowOff>175926</xdr:rowOff>
    </xdr:from>
    <xdr:ext cx="5807075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𝑷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𝑰𝑵𝑷𝑪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𝑬𝑬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𝑬𝑵𝑬𝑹𝑮𝑰𝑨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𝑹𝑰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(%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𝑶𝑪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∆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=(%𝑷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×∆_(𝑰𝑵𝑷𝑪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 )+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%𝑬𝑬×∆_(𝑬𝑵𝑬𝑹𝑮𝑰𝑨 ) )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(%𝑴𝑻×∆_(𝑰𝑮𝑷−𝑴 ) )+(%𝑹𝑰×∆_(𝑰𝑮𝑷−𝑴 ) )+(%𝑶𝑪×∆_(𝑰𝑷𝑪𝑨 ))</a:t>
              </a:r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104775</xdr:colOff>
      <xdr:row>42</xdr:row>
      <xdr:rowOff>71151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𝑻𝑭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𝑪𝑭</m:t>
                      </m:r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〖𝑻𝑭〗_𝑫𝑹𝑷=  𝑪𝑭/𝑴𝑹</a:t>
              </a:r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197464</xdr:colOff>
      <xdr:row>42</xdr:row>
      <xdr:rowOff>80676</xdr:rowOff>
    </xdr:from>
    <xdr:ext cx="3212486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𝑪𝑭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nary>
                    <m:naryPr>
                      <m:chr m:val="∑"/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  <m:sup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𝟏𝟐</m:t>
                      </m:r>
                    </m:sup>
                    <m:e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𝑪𝑷𝑨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𝑽𝑷𝑨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×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𝑰𝑷𝑪𝑨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𝒊𝑫𝑹𝑷</m:t>
                          </m:r>
                        </m:sub>
                      </m:sSub>
                    </m:e>
                  </m:nary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𝑪𝑭=∑_(𝒊=𝟏)^𝟏𝟐▒〖〖(𝑪𝑷𝑨〗_𝒊  − 〖𝑽𝑷𝑨〗_(𝒊 )) × 〖𝑰𝑷𝑪𝑨〗_𝒊𝑫𝑹𝑷 〗  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5</xdr:col>
      <xdr:colOff>206620</xdr:colOff>
      <xdr:row>44</xdr:row>
      <xdr:rowOff>80676</xdr:rowOff>
    </xdr:from>
    <xdr:ext cx="5893464" cy="1405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𝑉𝑃𝐴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𝐷𝑅𝐴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𝑀𝑅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;</m:t>
                  </m:r>
                </m:oMath>
              </a14:m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𝒊𝑫𝑹𝑷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〖𝑪𝑷𝑨〗_𝒊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〖𝑽𝑷𝑨〗_𝒊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〖𝑉𝑃𝐴〗_𝑖= 〖𝑇𝐴〗_𝐷𝑅𝐴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 〖𝑀𝑅〗_𝑖;</a:t>
              </a:r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〖𝑰𝑷𝑪𝑨〗_𝒊𝑫𝑹𝑷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438150</xdr:colOff>
      <xdr:row>3</xdr:row>
      <xdr:rowOff>76200</xdr:rowOff>
    </xdr:from>
    <xdr:to>
      <xdr:col>1</xdr:col>
      <xdr:colOff>114300</xdr:colOff>
      <xdr:row>4</xdr:row>
      <xdr:rowOff>171450</xdr:rowOff>
    </xdr:to>
    <xdr:pic>
      <xdr:nvPicPr>
        <xdr:cNvPr id="3" name="Gráfico 2" descr="Informações">
          <a:extLst>
            <a:ext uri="{FF2B5EF4-FFF2-40B4-BE49-F238E27FC236}">
              <a16:creationId xmlns:a16="http://schemas.microsoft.com/office/drawing/2014/main" id="{66AB6D2A-2C10-424D-BD04-EDFAAB7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495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3</xdr:row>
      <xdr:rowOff>66676</xdr:rowOff>
    </xdr:from>
    <xdr:to>
      <xdr:col>2</xdr:col>
      <xdr:colOff>304799</xdr:colOff>
      <xdr:row>4</xdr:row>
      <xdr:rowOff>200026</xdr:rowOff>
    </xdr:to>
    <xdr:pic>
      <xdr:nvPicPr>
        <xdr:cNvPr id="5" name="Gráfico 4" descr="Calendário diári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192D9-F3A0-4BBF-BCBA-78E19A87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85776"/>
          <a:ext cx="323850" cy="323850"/>
        </a:xfrm>
        <a:prstGeom prst="rect">
          <a:avLst/>
        </a:prstGeom>
      </xdr:spPr>
    </xdr:pic>
    <xdr:clientData/>
  </xdr:twoCellAnchor>
  <xdr:oneCellAnchor>
    <xdr:from>
      <xdr:col>5</xdr:col>
      <xdr:colOff>266700</xdr:colOff>
      <xdr:row>37</xdr:row>
      <xdr:rowOff>95250</xdr:rowOff>
    </xdr:from>
    <xdr:ext cx="5524500" cy="752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BD9E1E47-5C96-4518-B291-CCF2DB993042}"/>
            </a:ext>
          </a:extLst>
        </xdr:cNvPr>
        <xdr:cNvSpPr txBox="1"/>
      </xdr:nvSpPr>
      <xdr:spPr>
        <a:xfrm>
          <a:off x="3314700" y="7048500"/>
          <a:ext cx="552450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P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INPC = Proporção dos custos de pessoal multiplicado pela variação do INPC</a:t>
          </a:r>
        </a:p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EE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energia = Proporção dos custos energia elétrica multiplicado pela variação do índice de energia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MT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dos custos de material de tratamento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RI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da remuneração dos investimentos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OC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IPCA = Proporção de outros custos multiplicado pela variação do IPCA</a:t>
          </a:r>
        </a:p>
      </xdr:txBody>
    </xdr:sp>
    <xdr:clientData/>
  </xdr:oneCellAnchor>
  <xdr:twoCellAnchor>
    <xdr:from>
      <xdr:col>0</xdr:col>
      <xdr:colOff>0</xdr:colOff>
      <xdr:row>1</xdr:row>
      <xdr:rowOff>0</xdr:rowOff>
    </xdr:from>
    <xdr:to>
      <xdr:col>26</xdr:col>
      <xdr:colOff>0</xdr:colOff>
      <xdr:row>2</xdr:row>
      <xdr:rowOff>107025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31FABEB-E95D-3437-CA52-0504E3B4AEDB}"/>
            </a:ext>
          </a:extLst>
        </xdr:cNvPr>
        <xdr:cNvGrpSpPr/>
      </xdr:nvGrpSpPr>
      <xdr:grpSpPr>
        <a:xfrm>
          <a:off x="0" y="42333"/>
          <a:ext cx="16446500" cy="297525"/>
          <a:chOff x="0" y="42333"/>
          <a:chExt cx="16446500" cy="297525"/>
        </a:xfrm>
      </xdr:grpSpPr>
      <xdr:sp macro="" textlink="">
        <xdr:nvSpPr>
          <xdr:cNvPr id="115" name="Retângulo: Cantos Superiores Arredondados 114">
            <a:extLst>
              <a:ext uri="{FF2B5EF4-FFF2-40B4-BE49-F238E27FC236}">
                <a16:creationId xmlns:a16="http://schemas.microsoft.com/office/drawing/2014/main" id="{7C84B692-A6E9-4B09-8819-AF8A384CCB86}"/>
              </a:ext>
            </a:extLst>
          </xdr:cNvPr>
          <xdr:cNvSpPr>
            <a:spLocks/>
          </xdr:cNvSpPr>
        </xdr:nvSpPr>
        <xdr:spPr>
          <a:xfrm>
            <a:off x="0" y="42333"/>
            <a:ext cx="181342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16" name="Retângulo: Cantos Superiores Arredondados 1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652E0DA-1FCC-406D-A6E1-7B8573F39F5E}"/>
              </a:ext>
            </a:extLst>
          </xdr:cNvPr>
          <xdr:cNvSpPr>
            <a:spLocks/>
          </xdr:cNvSpPr>
        </xdr:nvSpPr>
        <xdr:spPr>
          <a:xfrm>
            <a:off x="1809396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17" name="Retângulo: Cantos Superiores Arredondados 11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4CCE12B-515F-4BC1-B3C4-0254735E9002}"/>
              </a:ext>
            </a:extLst>
          </xdr:cNvPr>
          <xdr:cNvSpPr>
            <a:spLocks/>
          </xdr:cNvSpPr>
        </xdr:nvSpPr>
        <xdr:spPr>
          <a:xfrm>
            <a:off x="12834114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18" name="Retângulo: Cantos Superiores Arredondados 11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69DBE55-3277-45FE-80B8-6ACBA2639365}"/>
              </a:ext>
            </a:extLst>
          </xdr:cNvPr>
          <xdr:cNvSpPr>
            <a:spLocks/>
          </xdr:cNvSpPr>
        </xdr:nvSpPr>
        <xdr:spPr>
          <a:xfrm>
            <a:off x="10871729" y="51858"/>
            <a:ext cx="19643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</a:p>
        </xdr:txBody>
      </xdr:sp>
      <xdr:sp macro="" textlink="">
        <xdr:nvSpPr>
          <xdr:cNvPr id="119" name="Retângulo: Cantos Superiores Arredondados 11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0D4A5B0-A6D9-40B8-B69F-85E157A38E88}"/>
              </a:ext>
            </a:extLst>
          </xdr:cNvPr>
          <xdr:cNvSpPr>
            <a:spLocks/>
          </xdr:cNvSpPr>
        </xdr:nvSpPr>
        <xdr:spPr>
          <a:xfrm>
            <a:off x="3617969" y="51858"/>
            <a:ext cx="18174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21" name="Retângulo: Cantos Superiores Arredondados 1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A69365D-9C25-42D0-8EFA-474D4AE95D24}"/>
              </a:ext>
            </a:extLst>
          </xdr:cNvPr>
          <xdr:cNvSpPr>
            <a:spLocks/>
          </xdr:cNvSpPr>
        </xdr:nvSpPr>
        <xdr:spPr>
          <a:xfrm>
            <a:off x="9031191" y="51858"/>
            <a:ext cx="18418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22" name="Retângulo: Cantos Superiores Arredondados 1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79E331A-7C4E-4D5C-82AB-2AED49337D71}"/>
              </a:ext>
            </a:extLst>
          </xdr:cNvPr>
          <xdr:cNvSpPr>
            <a:spLocks/>
          </xdr:cNvSpPr>
        </xdr:nvSpPr>
        <xdr:spPr>
          <a:xfrm>
            <a:off x="7230707" y="51858"/>
            <a:ext cx="182984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3" name="Retângulo: Cantos Superiores Arredondados 1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4869C1A0-558B-447B-9996-CC65C2068141}"/>
              </a:ext>
            </a:extLst>
          </xdr:cNvPr>
          <xdr:cNvSpPr>
            <a:spLocks/>
          </xdr:cNvSpPr>
        </xdr:nvSpPr>
        <xdr:spPr>
          <a:xfrm>
            <a:off x="5428696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4" name="Retângulo: Cantos Superiores Arredondados 11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2914545B-4CD8-4ACE-8CB6-47D0E09BA97A}"/>
              </a:ext>
            </a:extLst>
          </xdr:cNvPr>
          <xdr:cNvSpPr>
            <a:spLocks/>
          </xdr:cNvSpPr>
        </xdr:nvSpPr>
        <xdr:spPr>
          <a:xfrm>
            <a:off x="14636271" y="51858"/>
            <a:ext cx="181022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  <xdr:oneCellAnchor>
    <xdr:from>
      <xdr:col>5</xdr:col>
      <xdr:colOff>323849</xdr:colOff>
      <xdr:row>15</xdr:row>
      <xdr:rowOff>95251</xdr:rowOff>
    </xdr:from>
    <xdr:ext cx="5381626" cy="2590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𝑻𝑭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Choice>
      <mc:Fallback xmlns="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〖𝑻𝑨〗_𝑫𝑹𝑨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〖𝑻𝑭〗_𝑫𝑹𝑷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115356</xdr:rowOff>
    </xdr:from>
    <xdr:to>
      <xdr:col>6</xdr:col>
      <xdr:colOff>804333</xdr:colOff>
      <xdr:row>24</xdr:row>
      <xdr:rowOff>136524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EBC788-1D87-4CAB-A22D-59133CDBF722}"/>
            </a:ext>
            <a:ext uri="{147F2762-F138-4A5C-976F-8EAC2B608ADB}">
              <a16:predDERef xmlns:a16="http://schemas.microsoft.com/office/drawing/2014/main" pred="{BEEEF75C-D86C-4111-A493-EECAD3BA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605365</xdr:colOff>
      <xdr:row>7</xdr:row>
      <xdr:rowOff>187325</xdr:rowOff>
    </xdr:from>
    <xdr:to>
      <xdr:col>10</xdr:col>
      <xdr:colOff>1185334</xdr:colOff>
      <xdr:row>25</xdr:row>
      <xdr:rowOff>144992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5AA4A4-8D8B-4942-8450-EDE563A35CE7}"/>
            </a:ext>
            <a:ext uri="{147F2762-F138-4A5C-976F-8EAC2B608ADB}">
              <a16:predDERef xmlns:a16="http://schemas.microsoft.com/office/drawing/2014/main" pred="{C9EBC788-1D87-4CAB-A22D-59133CDB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504825</xdr:colOff>
      <xdr:row>2</xdr:row>
      <xdr:rowOff>171450</xdr:rowOff>
    </xdr:from>
    <xdr:to>
      <xdr:col>1</xdr:col>
      <xdr:colOff>866775</xdr:colOff>
      <xdr:row>4</xdr:row>
      <xdr:rowOff>152400</xdr:rowOff>
    </xdr:to>
    <xdr:pic>
      <xdr:nvPicPr>
        <xdr:cNvPr id="39" name="Gráfico 38" descr="Gráfico de barras">
          <a:extLst>
            <a:ext uri="{FF2B5EF4-FFF2-40B4-BE49-F238E27FC236}">
              <a16:creationId xmlns:a16="http://schemas.microsoft.com/office/drawing/2014/main" id="{1A4DBC52-8DDC-4086-967A-25895E72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14425" y="4000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9526</xdr:rowOff>
    </xdr:from>
    <xdr:to>
      <xdr:col>1</xdr:col>
      <xdr:colOff>123824</xdr:colOff>
      <xdr:row>4</xdr:row>
      <xdr:rowOff>114300</xdr:rowOff>
    </xdr:to>
    <xdr:pic>
      <xdr:nvPicPr>
        <xdr:cNvPr id="40" name="Gráfico 39" descr="Calculador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33EB7F9-657A-4F95-B532-3E344313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38150" y="42862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252413</xdr:colOff>
      <xdr:row>2</xdr:row>
      <xdr:rowOff>98558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581DBC9A-36A1-47A7-B0A6-3E6CD52117C7}"/>
            </a:ext>
          </a:extLst>
        </xdr:cNvPr>
        <xdr:cNvGrpSpPr/>
      </xdr:nvGrpSpPr>
      <xdr:grpSpPr>
        <a:xfrm>
          <a:off x="0" y="42333"/>
          <a:ext cx="16159163" cy="289058"/>
          <a:chOff x="0" y="42333"/>
          <a:chExt cx="16159163" cy="289058"/>
        </a:xfrm>
      </xdr:grpSpPr>
      <xdr:sp macro="" textlink="">
        <xdr:nvSpPr>
          <xdr:cNvPr id="15" name="Retângulo: Cantos Superiores Arredondados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ABE0B00E-441E-0C67-BDF5-DE0322E28CE9}"/>
              </a:ext>
            </a:extLst>
          </xdr:cNvPr>
          <xdr:cNvSpPr>
            <a:spLocks/>
          </xdr:cNvSpPr>
        </xdr:nvSpPr>
        <xdr:spPr>
          <a:xfrm>
            <a:off x="0" y="43391"/>
            <a:ext cx="178215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C41E745-B60D-EECF-32E8-B6C18DBC13E2}"/>
              </a:ext>
            </a:extLst>
          </xdr:cNvPr>
          <xdr:cNvSpPr>
            <a:spLocks/>
          </xdr:cNvSpPr>
        </xdr:nvSpPr>
        <xdr:spPr>
          <a:xfrm>
            <a:off x="1778191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ABBFDADB-D1A5-2FFD-5D49-AD6C4096605B}"/>
              </a:ext>
            </a:extLst>
          </xdr:cNvPr>
          <xdr:cNvSpPr>
            <a:spLocks/>
          </xdr:cNvSpPr>
        </xdr:nvSpPr>
        <xdr:spPr>
          <a:xfrm>
            <a:off x="12583829" y="42333"/>
            <a:ext cx="18096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B18D7C9A-7145-78F3-81D2-70AFCEF3F620}"/>
              </a:ext>
            </a:extLst>
          </xdr:cNvPr>
          <xdr:cNvSpPr>
            <a:spLocks/>
          </xdr:cNvSpPr>
        </xdr:nvSpPr>
        <xdr:spPr>
          <a:xfrm>
            <a:off x="10670239" y="42333"/>
            <a:ext cx="192512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E001266-282A-82EE-BA83-E9153BC5727C}"/>
              </a:ext>
            </a:extLst>
          </xdr:cNvPr>
          <xdr:cNvSpPr>
            <a:spLocks/>
          </xdr:cNvSpPr>
        </xdr:nvSpPr>
        <xdr:spPr>
          <a:xfrm>
            <a:off x="3555573" y="42333"/>
            <a:ext cx="17860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A1AFC81-FAFF-A4E5-DE38-C64E4EB0BC3D}"/>
              </a:ext>
            </a:extLst>
          </xdr:cNvPr>
          <xdr:cNvSpPr>
            <a:spLocks/>
          </xdr:cNvSpPr>
        </xdr:nvSpPr>
        <xdr:spPr>
          <a:xfrm>
            <a:off x="8875438" y="42333"/>
            <a:ext cx="1810054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42B14641-B028-F5C2-F487-0D82DA82C33E}"/>
              </a:ext>
            </a:extLst>
          </xdr:cNvPr>
          <xdr:cNvSpPr>
            <a:spLocks/>
          </xdr:cNvSpPr>
        </xdr:nvSpPr>
        <xdr:spPr>
          <a:xfrm>
            <a:off x="7106007" y="42333"/>
            <a:ext cx="177341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BF281C3B-BB32-0FE8-170D-179D0B152EE6}"/>
              </a:ext>
            </a:extLst>
          </xdr:cNvPr>
          <xdr:cNvSpPr>
            <a:spLocks/>
          </xdr:cNvSpPr>
        </xdr:nvSpPr>
        <xdr:spPr>
          <a:xfrm>
            <a:off x="5335073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A55F2AE-1CCB-DB76-F823-C40C6F639B05}"/>
              </a:ext>
            </a:extLst>
          </xdr:cNvPr>
          <xdr:cNvSpPr>
            <a:spLocks/>
          </xdr:cNvSpPr>
        </xdr:nvSpPr>
        <xdr:spPr>
          <a:xfrm>
            <a:off x="14383854" y="42333"/>
            <a:ext cx="177530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1058</xdr:rowOff>
    </xdr:from>
    <xdr:to>
      <xdr:col>2</xdr:col>
      <xdr:colOff>132171</xdr:colOff>
      <xdr:row>2</xdr:row>
      <xdr:rowOff>98558</xdr:rowOff>
    </xdr:to>
    <xdr:sp macro="" textlink="">
      <xdr:nvSpPr>
        <xdr:cNvPr id="15" name="Retângulo: Cantos Superiores Arredondados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AB0594-C257-6ECF-5679-844FEAC5B461}"/>
            </a:ext>
          </a:extLst>
        </xdr:cNvPr>
        <xdr:cNvSpPr>
          <a:spLocks/>
        </xdr:cNvSpPr>
      </xdr:nvSpPr>
      <xdr:spPr>
        <a:xfrm>
          <a:off x="0" y="43391"/>
          <a:ext cx="198425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APRESENTAÇÃO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127761</xdr:colOff>
      <xdr:row>1</xdr:row>
      <xdr:rowOff>0</xdr:rowOff>
    </xdr:from>
    <xdr:to>
      <xdr:col>3</xdr:col>
      <xdr:colOff>893181</xdr:colOff>
      <xdr:row>2</xdr:row>
      <xdr:rowOff>97500</xdr:rowOff>
    </xdr:to>
    <xdr:sp macro="" textlink="">
      <xdr:nvSpPr>
        <xdr:cNvPr id="16" name="Retângulo: Cantos Superiores Arredondados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ED60DB-51C5-5455-24B6-9308E385D6B7}"/>
            </a:ext>
          </a:extLst>
        </xdr:cNvPr>
        <xdr:cNvSpPr>
          <a:spLocks/>
        </xdr:cNvSpPr>
      </xdr:nvSpPr>
      <xdr:spPr>
        <a:xfrm>
          <a:off x="1979844" y="42333"/>
          <a:ext cx="198250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INFLAÇÃO</a:t>
          </a:r>
        </a:p>
      </xdr:txBody>
    </xdr:sp>
    <xdr:clientData/>
  </xdr:twoCellAnchor>
  <xdr:twoCellAnchor>
    <xdr:from>
      <xdr:col>12</xdr:col>
      <xdr:colOff>1078045</xdr:colOff>
      <xdr:row>1</xdr:row>
      <xdr:rowOff>0</xdr:rowOff>
    </xdr:from>
    <xdr:to>
      <xdr:col>14</xdr:col>
      <xdr:colOff>912744</xdr:colOff>
      <xdr:row>2</xdr:row>
      <xdr:rowOff>97500</xdr:rowOff>
    </xdr:to>
    <xdr:sp macro="" textlink="">
      <xdr:nvSpPr>
        <xdr:cNvPr id="17" name="Retângulo: Cantos Superiores Arredondad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270605-6ED0-520D-327B-4C1C9BAB254B}"/>
            </a:ext>
          </a:extLst>
        </xdr:cNvPr>
        <xdr:cNvSpPr>
          <a:spLocks/>
        </xdr:cNvSpPr>
      </xdr:nvSpPr>
      <xdr:spPr>
        <a:xfrm>
          <a:off x="14010878" y="42333"/>
          <a:ext cx="2014866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RTA 2023</a:t>
          </a:r>
          <a:endParaRPr lang="pt-BR">
            <a:effectLst/>
          </a:endParaRPr>
        </a:p>
      </xdr:txBody>
    </xdr:sp>
    <xdr:clientData/>
  </xdr:twoCellAnchor>
  <xdr:twoCellAnchor>
    <xdr:from>
      <xdr:col>11</xdr:col>
      <xdr:colOff>37530</xdr:colOff>
      <xdr:row>1</xdr:row>
      <xdr:rowOff>0</xdr:rowOff>
    </xdr:from>
    <xdr:to>
      <xdr:col>13</xdr:col>
      <xdr:colOff>804</xdr:colOff>
      <xdr:row>2</xdr:row>
      <xdr:rowOff>97500</xdr:rowOff>
    </xdr:to>
    <xdr:sp macro="" textlink="">
      <xdr:nvSpPr>
        <xdr:cNvPr id="18" name="Retângulo: Cantos Superiores Arredondad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B0938C-46BD-864F-F6D6-A212CA09DE51}"/>
            </a:ext>
          </a:extLst>
        </xdr:cNvPr>
        <xdr:cNvSpPr>
          <a:spLocks/>
        </xdr:cNvSpPr>
      </xdr:nvSpPr>
      <xdr:spPr>
        <a:xfrm>
          <a:off x="11880280" y="42333"/>
          <a:ext cx="2143441" cy="288000"/>
        </a:xfrm>
        <a:prstGeom prst="round2Same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COMPONENTE FINANCEIRO</a:t>
          </a:r>
          <a:endParaRPr lang="pt-BR" sz="1000">
            <a:effectLst/>
          </a:endParaRPr>
        </a:p>
      </xdr:txBody>
    </xdr:sp>
    <xdr:clientData/>
  </xdr:twoCellAnchor>
  <xdr:twoCellAnchor>
    <xdr:from>
      <xdr:col>3</xdr:col>
      <xdr:colOff>889620</xdr:colOff>
      <xdr:row>1</xdr:row>
      <xdr:rowOff>0</xdr:rowOff>
    </xdr:from>
    <xdr:to>
      <xdr:col>5</xdr:col>
      <xdr:colOff>708663</xdr:colOff>
      <xdr:row>2</xdr:row>
      <xdr:rowOff>97500</xdr:rowOff>
    </xdr:to>
    <xdr:sp macro="" textlink="">
      <xdr:nvSpPr>
        <xdr:cNvPr id="19" name="Retângulo: Cantos Superiore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E99A27-906E-7198-5F72-6FF03F7E2AD8}"/>
            </a:ext>
          </a:extLst>
        </xdr:cNvPr>
        <xdr:cNvSpPr>
          <a:spLocks/>
        </xdr:cNvSpPr>
      </xdr:nvSpPr>
      <xdr:spPr>
        <a:xfrm>
          <a:off x="3958787" y="42333"/>
          <a:ext cx="1988626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BÔNUS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DESCONTO</a:t>
          </a:r>
          <a:endParaRPr lang="pt-BR">
            <a:effectLst/>
          </a:endParaRPr>
        </a:p>
      </xdr:txBody>
    </xdr:sp>
    <xdr:clientData/>
  </xdr:twoCellAnchor>
  <xdr:twoCellAnchor>
    <xdr:from>
      <xdr:col>9</xdr:col>
      <xdr:colOff>219360</xdr:colOff>
      <xdr:row>1</xdr:row>
      <xdr:rowOff>0</xdr:rowOff>
    </xdr:from>
    <xdr:to>
      <xdr:col>11</xdr:col>
      <xdr:colOff>54513</xdr:colOff>
      <xdr:row>2</xdr:row>
      <xdr:rowOff>97500</xdr:rowOff>
    </xdr:to>
    <xdr:sp macro="" textlink="">
      <xdr:nvSpPr>
        <xdr:cNvPr id="20" name="Retângulo: Cantos Superiore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C72F8D-7BAF-2429-E7B6-6AF64C41F884}"/>
            </a:ext>
          </a:extLst>
        </xdr:cNvPr>
        <xdr:cNvSpPr>
          <a:spLocks/>
        </xdr:cNvSpPr>
      </xdr:nvSpPr>
      <xdr:spPr>
        <a:xfrm>
          <a:off x="9881943" y="42333"/>
          <a:ext cx="2015320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VPB</a:t>
          </a:r>
          <a:endParaRPr lang="pt-BR" sz="1100">
            <a:effectLst/>
          </a:endParaRPr>
        </a:p>
      </xdr:txBody>
    </xdr:sp>
    <xdr:clientData/>
  </xdr:twoCellAnchor>
  <xdr:twoCellAnchor>
    <xdr:from>
      <xdr:col>7</xdr:col>
      <xdr:colOff>492935</xdr:colOff>
      <xdr:row>1</xdr:row>
      <xdr:rowOff>0</xdr:rowOff>
    </xdr:from>
    <xdr:to>
      <xdr:col>9</xdr:col>
      <xdr:colOff>223790</xdr:colOff>
      <xdr:row>2</xdr:row>
      <xdr:rowOff>97500</xdr:rowOff>
    </xdr:to>
    <xdr:sp macro="" textlink="">
      <xdr:nvSpPr>
        <xdr:cNvPr id="21" name="Retângulo: Cantos Superiores Arredondad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FB76BD0-5365-8F25-416A-CAD6FEC5466E}"/>
            </a:ext>
          </a:extLst>
        </xdr:cNvPr>
        <xdr:cNvSpPr>
          <a:spLocks/>
        </xdr:cNvSpPr>
      </xdr:nvSpPr>
      <xdr:spPr>
        <a:xfrm>
          <a:off x="7911852" y="42333"/>
          <a:ext cx="1974521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VPA</a:t>
          </a:r>
        </a:p>
      </xdr:txBody>
    </xdr:sp>
    <xdr:clientData/>
  </xdr:twoCellAnchor>
  <xdr:twoCellAnchor>
    <xdr:from>
      <xdr:col>5</xdr:col>
      <xdr:colOff>701338</xdr:colOff>
      <xdr:row>1</xdr:row>
      <xdr:rowOff>0</xdr:rowOff>
    </xdr:from>
    <xdr:to>
      <xdr:col>7</xdr:col>
      <xdr:colOff>503675</xdr:colOff>
      <xdr:row>2</xdr:row>
      <xdr:rowOff>97500</xdr:rowOff>
    </xdr:to>
    <xdr:sp macro="" textlink="">
      <xdr:nvSpPr>
        <xdr:cNvPr id="22" name="Retângulo: Cantos Superiores Arredondad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63FBEA8-DB39-3CD7-AE57-18991BD5DC52}"/>
            </a:ext>
          </a:extLst>
        </xdr:cNvPr>
        <xdr:cNvSpPr>
          <a:spLocks/>
        </xdr:cNvSpPr>
      </xdr:nvSpPr>
      <xdr:spPr>
        <a:xfrm>
          <a:off x="5940088" y="42333"/>
          <a:ext cx="198250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VOLUMES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- 2022</a:t>
          </a:r>
          <a:endParaRPr lang="pt-BR">
            <a:effectLst/>
          </a:endParaRPr>
        </a:p>
      </xdr:txBody>
    </xdr:sp>
    <xdr:clientData/>
  </xdr:twoCellAnchor>
  <xdr:twoCellAnchor>
    <xdr:from>
      <xdr:col>14</xdr:col>
      <xdr:colOff>902032</xdr:colOff>
      <xdr:row>1</xdr:row>
      <xdr:rowOff>0</xdr:rowOff>
    </xdr:from>
    <xdr:to>
      <xdr:col>17</xdr:col>
      <xdr:colOff>0</xdr:colOff>
      <xdr:row>2</xdr:row>
      <xdr:rowOff>97500</xdr:rowOff>
    </xdr:to>
    <xdr:sp macro="" textlink="">
      <xdr:nvSpPr>
        <xdr:cNvPr id="23" name="Retângulo: Cantos Superiores Arredondad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5E42C62-1B4F-0FF4-03D2-1345D9C93970}"/>
            </a:ext>
          </a:extLst>
        </xdr:cNvPr>
        <xdr:cNvSpPr>
          <a:spLocks/>
        </xdr:cNvSpPr>
      </xdr:nvSpPr>
      <xdr:spPr>
        <a:xfrm>
          <a:off x="16015032" y="42333"/>
          <a:ext cx="1976635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TARIFAS 2023</a:t>
          </a:r>
          <a:endParaRPr lang="pt-BR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52388</xdr:colOff>
      <xdr:row>2</xdr:row>
      <xdr:rowOff>109141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7A8BC732-75E9-A4A1-7760-0387B5FBEA7A}"/>
            </a:ext>
          </a:extLst>
        </xdr:cNvPr>
        <xdr:cNvGrpSpPr/>
      </xdr:nvGrpSpPr>
      <xdr:grpSpPr>
        <a:xfrm>
          <a:off x="0" y="42333"/>
          <a:ext cx="16149638" cy="289058"/>
          <a:chOff x="0" y="42333"/>
          <a:chExt cx="16149638" cy="289058"/>
        </a:xfrm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CC23D23-3C51-A4E2-6545-0352669EDC78}"/>
              </a:ext>
            </a:extLst>
          </xdr:cNvPr>
          <xdr:cNvSpPr>
            <a:spLocks/>
          </xdr:cNvSpPr>
        </xdr:nvSpPr>
        <xdr:spPr>
          <a:xfrm>
            <a:off x="0" y="43391"/>
            <a:ext cx="17811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7DFFD72-D67B-5BD6-7581-CE157B759D61}"/>
              </a:ext>
            </a:extLst>
          </xdr:cNvPr>
          <xdr:cNvSpPr>
            <a:spLocks/>
          </xdr:cNvSpPr>
        </xdr:nvSpPr>
        <xdr:spPr>
          <a:xfrm>
            <a:off x="1777143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7AB3F67-402E-775F-F250-F966EDA7C058}"/>
              </a:ext>
            </a:extLst>
          </xdr:cNvPr>
          <xdr:cNvSpPr>
            <a:spLocks/>
          </xdr:cNvSpPr>
        </xdr:nvSpPr>
        <xdr:spPr>
          <a:xfrm>
            <a:off x="12576411" y="42333"/>
            <a:ext cx="180857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06A141B-6B52-4225-9627-3375C8CF4809}"/>
              </a:ext>
            </a:extLst>
          </xdr:cNvPr>
          <xdr:cNvSpPr>
            <a:spLocks/>
          </xdr:cNvSpPr>
        </xdr:nvSpPr>
        <xdr:spPr>
          <a:xfrm>
            <a:off x="10663949" y="42333"/>
            <a:ext cx="192399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62C6A47-FC7F-BF45-5398-0FBC3764713E}"/>
              </a:ext>
            </a:extLst>
          </xdr:cNvPr>
          <xdr:cNvSpPr>
            <a:spLocks/>
          </xdr:cNvSpPr>
        </xdr:nvSpPr>
        <xdr:spPr>
          <a:xfrm>
            <a:off x="3553477" y="42333"/>
            <a:ext cx="178502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C1A0AD54-39C2-A541-C8D8-84223CBE413C}"/>
              </a:ext>
            </a:extLst>
          </xdr:cNvPr>
          <xdr:cNvSpPr>
            <a:spLocks/>
          </xdr:cNvSpPr>
        </xdr:nvSpPr>
        <xdr:spPr>
          <a:xfrm>
            <a:off x="8870206" y="42333"/>
            <a:ext cx="180898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F6DFD4D9-0783-B20C-FB7A-2A99A4BE5B3B}"/>
              </a:ext>
            </a:extLst>
          </xdr:cNvPr>
          <xdr:cNvSpPr>
            <a:spLocks/>
          </xdr:cNvSpPr>
        </xdr:nvSpPr>
        <xdr:spPr>
          <a:xfrm>
            <a:off x="7101818" y="42333"/>
            <a:ext cx="17723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3FB116D-32A6-9481-4253-9BD3F0D75EA8}"/>
              </a:ext>
            </a:extLst>
          </xdr:cNvPr>
          <xdr:cNvSpPr>
            <a:spLocks/>
          </xdr:cNvSpPr>
        </xdr:nvSpPr>
        <xdr:spPr>
          <a:xfrm>
            <a:off x="5331928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76D53EE-8427-CCD3-00F5-6D8BED42DAEA}"/>
              </a:ext>
            </a:extLst>
          </xdr:cNvPr>
          <xdr:cNvSpPr>
            <a:spLocks/>
          </xdr:cNvSpPr>
        </xdr:nvSpPr>
        <xdr:spPr>
          <a:xfrm>
            <a:off x="14375375" y="42333"/>
            <a:ext cx="177426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2</xdr:row>
      <xdr:rowOff>109141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70FD96E3-62AE-450E-B2F8-83970E6F4FBE}"/>
            </a:ext>
          </a:extLst>
        </xdr:cNvPr>
        <xdr:cNvGrpSpPr/>
      </xdr:nvGrpSpPr>
      <xdr:grpSpPr>
        <a:xfrm>
          <a:off x="0" y="42333"/>
          <a:ext cx="16488833" cy="289058"/>
          <a:chOff x="0" y="42333"/>
          <a:chExt cx="16149638" cy="289058"/>
        </a:xfrm>
      </xdr:grpSpPr>
      <xdr:sp macro="" textlink="">
        <xdr:nvSpPr>
          <xdr:cNvPr id="16" name="Retângulo: Cantos Superiores Arredondado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930E60-2FFE-F000-4B17-496962BD6E8C}"/>
              </a:ext>
            </a:extLst>
          </xdr:cNvPr>
          <xdr:cNvSpPr>
            <a:spLocks/>
          </xdr:cNvSpPr>
        </xdr:nvSpPr>
        <xdr:spPr>
          <a:xfrm>
            <a:off x="0" y="43391"/>
            <a:ext cx="17811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4694E68-9348-EC68-F442-8B5405C1B041}"/>
              </a:ext>
            </a:extLst>
          </xdr:cNvPr>
          <xdr:cNvSpPr>
            <a:spLocks/>
          </xdr:cNvSpPr>
        </xdr:nvSpPr>
        <xdr:spPr>
          <a:xfrm>
            <a:off x="1777143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2605978-4DAF-AA74-3D49-B48717272244}"/>
              </a:ext>
            </a:extLst>
          </xdr:cNvPr>
          <xdr:cNvSpPr>
            <a:spLocks/>
          </xdr:cNvSpPr>
        </xdr:nvSpPr>
        <xdr:spPr>
          <a:xfrm>
            <a:off x="12576411" y="42333"/>
            <a:ext cx="18085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3FF6E56-597C-3E01-F554-7ABC1324391C}"/>
              </a:ext>
            </a:extLst>
          </xdr:cNvPr>
          <xdr:cNvSpPr>
            <a:spLocks/>
          </xdr:cNvSpPr>
        </xdr:nvSpPr>
        <xdr:spPr>
          <a:xfrm>
            <a:off x="10663949" y="42333"/>
            <a:ext cx="192399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26A9AFA-1C50-0158-C94B-EF32971C431C}"/>
              </a:ext>
            </a:extLst>
          </xdr:cNvPr>
          <xdr:cNvSpPr>
            <a:spLocks/>
          </xdr:cNvSpPr>
        </xdr:nvSpPr>
        <xdr:spPr>
          <a:xfrm>
            <a:off x="3553477" y="42333"/>
            <a:ext cx="178502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794286B-D3C3-833D-1097-4F7B28E13E50}"/>
              </a:ext>
            </a:extLst>
          </xdr:cNvPr>
          <xdr:cNvSpPr>
            <a:spLocks/>
          </xdr:cNvSpPr>
        </xdr:nvSpPr>
        <xdr:spPr>
          <a:xfrm>
            <a:off x="8870206" y="42333"/>
            <a:ext cx="180898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A0F3954-6743-BA80-75D8-1B4829C7AB4C}"/>
              </a:ext>
            </a:extLst>
          </xdr:cNvPr>
          <xdr:cNvSpPr>
            <a:spLocks/>
          </xdr:cNvSpPr>
        </xdr:nvSpPr>
        <xdr:spPr>
          <a:xfrm>
            <a:off x="7101818" y="42333"/>
            <a:ext cx="17723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3EA038D-F2EF-BC95-A1E5-0B856E6C045E}"/>
              </a:ext>
            </a:extLst>
          </xdr:cNvPr>
          <xdr:cNvSpPr>
            <a:spLocks/>
          </xdr:cNvSpPr>
        </xdr:nvSpPr>
        <xdr:spPr>
          <a:xfrm>
            <a:off x="5331928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FD9FC2D-5A40-642A-D6B6-73B65F6788D5}"/>
              </a:ext>
            </a:extLst>
          </xdr:cNvPr>
          <xdr:cNvSpPr>
            <a:spLocks/>
          </xdr:cNvSpPr>
        </xdr:nvSpPr>
        <xdr:spPr>
          <a:xfrm>
            <a:off x="14375375" y="42333"/>
            <a:ext cx="1774263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57149</xdr:rowOff>
    </xdr:from>
    <xdr:to>
      <xdr:col>1</xdr:col>
      <xdr:colOff>114300</xdr:colOff>
      <xdr:row>4</xdr:row>
      <xdr:rowOff>152399</xdr:rowOff>
    </xdr:to>
    <xdr:pic>
      <xdr:nvPicPr>
        <xdr:cNvPr id="21" name="Gráfico 20" descr="Informaçõ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E540E-C966-4B20-9C11-8B3D8847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8150" y="476249"/>
          <a:ext cx="285750" cy="285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26</xdr:col>
      <xdr:colOff>0</xdr:colOff>
      <xdr:row>2</xdr:row>
      <xdr:rowOff>107025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8760837B-EC9C-EFA0-4C9F-B5BF1C0D2634}"/>
            </a:ext>
          </a:extLst>
        </xdr:cNvPr>
        <xdr:cNvGrpSpPr/>
      </xdr:nvGrpSpPr>
      <xdr:grpSpPr>
        <a:xfrm>
          <a:off x="0" y="42333"/>
          <a:ext cx="15441083" cy="297525"/>
          <a:chOff x="0" y="34636"/>
          <a:chExt cx="15265977" cy="297525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F5C078C2-C1CB-405F-B02C-5646CD9D3B79}"/>
              </a:ext>
            </a:extLst>
          </xdr:cNvPr>
          <xdr:cNvSpPr>
            <a:spLocks/>
          </xdr:cNvSpPr>
        </xdr:nvSpPr>
        <xdr:spPr>
          <a:xfrm>
            <a:off x="0" y="34636"/>
            <a:ext cx="16832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BAFF292-B640-EE34-2888-B406132D7676}"/>
              </a:ext>
            </a:extLst>
          </xdr:cNvPr>
          <xdr:cNvSpPr>
            <a:spLocks/>
          </xdr:cNvSpPr>
        </xdr:nvSpPr>
        <xdr:spPr>
          <a:xfrm>
            <a:off x="1679518" y="44161"/>
            <a:ext cx="168177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9101C64A-B38A-C158-C403-28C2156DDEED}"/>
              </a:ext>
            </a:extLst>
          </xdr:cNvPr>
          <xdr:cNvSpPr>
            <a:spLocks/>
          </xdr:cNvSpPr>
        </xdr:nvSpPr>
        <xdr:spPr>
          <a:xfrm>
            <a:off x="11885545" y="44161"/>
            <a:ext cx="170922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F7C85C2A-336E-1E6D-D7CE-A93FA57751E8}"/>
              </a:ext>
            </a:extLst>
          </xdr:cNvPr>
          <xdr:cNvSpPr>
            <a:spLocks/>
          </xdr:cNvSpPr>
        </xdr:nvSpPr>
        <xdr:spPr>
          <a:xfrm>
            <a:off x="10078141" y="44161"/>
            <a:ext cx="181829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C64FA004-81AB-403A-8271-DEAEBA1876FE}"/>
              </a:ext>
            </a:extLst>
          </xdr:cNvPr>
          <xdr:cNvSpPr>
            <a:spLocks/>
          </xdr:cNvSpPr>
        </xdr:nvSpPr>
        <xdr:spPr>
          <a:xfrm>
            <a:off x="3358272" y="44161"/>
            <a:ext cx="168696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268ED59-8807-14CB-44E6-D2575B51FB85}"/>
              </a:ext>
            </a:extLst>
          </xdr:cNvPr>
          <xdr:cNvSpPr>
            <a:spLocks/>
          </xdr:cNvSpPr>
        </xdr:nvSpPr>
        <xdr:spPr>
          <a:xfrm>
            <a:off x="8382935" y="44161"/>
            <a:ext cx="17096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7D99402-C375-AC04-3076-AFA5DEF94339}"/>
              </a:ext>
            </a:extLst>
          </xdr:cNvPr>
          <xdr:cNvSpPr>
            <a:spLocks/>
          </xdr:cNvSpPr>
        </xdr:nvSpPr>
        <xdr:spPr>
          <a:xfrm>
            <a:off x="6711690" y="44161"/>
            <a:ext cx="169849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E1BD1C2F-81E0-1EB8-41C0-42CFCA46FFD7}"/>
              </a:ext>
            </a:extLst>
          </xdr:cNvPr>
          <xdr:cNvSpPr>
            <a:spLocks/>
          </xdr:cNvSpPr>
        </xdr:nvSpPr>
        <xdr:spPr>
          <a:xfrm>
            <a:off x="5039026" y="44161"/>
            <a:ext cx="168177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A7B40DB-6E28-2D4A-C9B5-E4C2FD528D93}"/>
              </a:ext>
            </a:extLst>
          </xdr:cNvPr>
          <xdr:cNvSpPr>
            <a:spLocks/>
          </xdr:cNvSpPr>
        </xdr:nvSpPr>
        <xdr:spPr>
          <a:xfrm>
            <a:off x="13585685" y="44161"/>
            <a:ext cx="168029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3</xdr:row>
      <xdr:rowOff>19050</xdr:rowOff>
    </xdr:from>
    <xdr:to>
      <xdr:col>2</xdr:col>
      <xdr:colOff>342900</xdr:colOff>
      <xdr:row>4</xdr:row>
      <xdr:rowOff>190500</xdr:rowOff>
    </xdr:to>
    <xdr:pic>
      <xdr:nvPicPr>
        <xdr:cNvPr id="13" name="Gráfico 12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63E536-807D-4FBE-A406-5DBE875CA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57151</xdr:rowOff>
    </xdr:from>
    <xdr:to>
      <xdr:col>1</xdr:col>
      <xdr:colOff>323849</xdr:colOff>
      <xdr:row>4</xdr:row>
      <xdr:rowOff>161925</xdr:rowOff>
    </xdr:to>
    <xdr:pic>
      <xdr:nvPicPr>
        <xdr:cNvPr id="14" name="Gráfico 13" descr="Calculadora">
          <a:extLst>
            <a:ext uri="{FF2B5EF4-FFF2-40B4-BE49-F238E27FC236}">
              <a16:creationId xmlns:a16="http://schemas.microsoft.com/office/drawing/2014/main" id="{72907527-F1BD-4012-A8F8-98568C5C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66725" y="4762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15</xdr:col>
      <xdr:colOff>0</xdr:colOff>
      <xdr:row>2</xdr:row>
      <xdr:rowOff>107025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2ACC3ABB-C657-24B4-A419-D4BF007BD05C}"/>
            </a:ext>
          </a:extLst>
        </xdr:cNvPr>
        <xdr:cNvGrpSpPr/>
      </xdr:nvGrpSpPr>
      <xdr:grpSpPr>
        <a:xfrm>
          <a:off x="0" y="42333"/>
          <a:ext cx="15335250" cy="297525"/>
          <a:chOff x="0" y="42333"/>
          <a:chExt cx="15335250" cy="297525"/>
        </a:xfrm>
      </xdr:grpSpPr>
      <xdr:sp macro="" textlink="">
        <xdr:nvSpPr>
          <xdr:cNvPr id="17" name="Retângulo: Cantos Superiores Arredondados 1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70A5FC5-5070-7191-20B9-47463352BD48}"/>
              </a:ext>
            </a:extLst>
          </xdr:cNvPr>
          <xdr:cNvSpPr>
            <a:spLocks/>
          </xdr:cNvSpPr>
        </xdr:nvSpPr>
        <xdr:spPr>
          <a:xfrm>
            <a:off x="0" y="42333"/>
            <a:ext cx="169089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D1BCA25-947D-3810-34E4-754610DB6C92}"/>
              </a:ext>
            </a:extLst>
          </xdr:cNvPr>
          <xdr:cNvSpPr>
            <a:spLocks/>
          </xdr:cNvSpPr>
        </xdr:nvSpPr>
        <xdr:spPr>
          <a:xfrm>
            <a:off x="1687139" y="51858"/>
            <a:ext cx="168940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271474B8-ED82-F75E-40C5-1F495E910EB4}"/>
              </a:ext>
            </a:extLst>
          </xdr:cNvPr>
          <xdr:cNvSpPr>
            <a:spLocks/>
          </xdr:cNvSpPr>
        </xdr:nvSpPr>
        <xdr:spPr>
          <a:xfrm>
            <a:off x="11939478" y="51858"/>
            <a:ext cx="171698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EF84AE5-B18B-9887-6390-5E960029741E}"/>
              </a:ext>
            </a:extLst>
          </xdr:cNvPr>
          <xdr:cNvSpPr>
            <a:spLocks/>
          </xdr:cNvSpPr>
        </xdr:nvSpPr>
        <xdr:spPr>
          <a:xfrm>
            <a:off x="10123873" y="51858"/>
            <a:ext cx="182655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6BF6DBB9-309D-938E-51E3-7110B986ACA6}"/>
              </a:ext>
            </a:extLst>
          </xdr:cNvPr>
          <xdr:cNvSpPr>
            <a:spLocks/>
          </xdr:cNvSpPr>
        </xdr:nvSpPr>
        <xdr:spPr>
          <a:xfrm>
            <a:off x="3373511" y="51858"/>
            <a:ext cx="169462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C4D42082-A8AB-371C-4595-0E3D5DB9B2CF}"/>
              </a:ext>
            </a:extLst>
          </xdr:cNvPr>
          <xdr:cNvSpPr>
            <a:spLocks/>
          </xdr:cNvSpPr>
        </xdr:nvSpPr>
        <xdr:spPr>
          <a:xfrm>
            <a:off x="8420975" y="51858"/>
            <a:ext cx="171737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1CFE2065-DE21-7BA5-0AC0-79FDF4E92522}"/>
              </a:ext>
            </a:extLst>
          </xdr:cNvPr>
          <xdr:cNvSpPr>
            <a:spLocks/>
          </xdr:cNvSpPr>
        </xdr:nvSpPr>
        <xdr:spPr>
          <a:xfrm>
            <a:off x="6742146" y="51858"/>
            <a:ext cx="17062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C2F15F58-C8E0-A2ED-0BF5-9512A80DDFBA}"/>
              </a:ext>
            </a:extLst>
          </xdr:cNvPr>
          <xdr:cNvSpPr>
            <a:spLocks/>
          </xdr:cNvSpPr>
        </xdr:nvSpPr>
        <xdr:spPr>
          <a:xfrm>
            <a:off x="5061892" y="51858"/>
            <a:ext cx="168940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46BD9C14-EB22-6347-366F-B1A4EAB940AA}"/>
              </a:ext>
            </a:extLst>
          </xdr:cNvPr>
          <xdr:cNvSpPr>
            <a:spLocks/>
          </xdr:cNvSpPr>
        </xdr:nvSpPr>
        <xdr:spPr>
          <a:xfrm>
            <a:off x="13647333" y="51858"/>
            <a:ext cx="168791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38100</xdr:rowOff>
    </xdr:from>
    <xdr:to>
      <xdr:col>2</xdr:col>
      <xdr:colOff>352425</xdr:colOff>
      <xdr:row>4</xdr:row>
      <xdr:rowOff>209550</xdr:rowOff>
    </xdr:to>
    <xdr:pic>
      <xdr:nvPicPr>
        <xdr:cNvPr id="13" name="Gráfico 12" descr="Gráfico de barras">
          <a:extLst>
            <a:ext uri="{FF2B5EF4-FFF2-40B4-BE49-F238E27FC236}">
              <a16:creationId xmlns:a16="http://schemas.microsoft.com/office/drawing/2014/main" id="{4F4AD5A2-7E94-4F65-9EB8-5BA7C3875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9675" y="4572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450850</xdr:colOff>
      <xdr:row>3</xdr:row>
      <xdr:rowOff>64559</xdr:rowOff>
    </xdr:from>
    <xdr:to>
      <xdr:col>1</xdr:col>
      <xdr:colOff>136524</xdr:colOff>
      <xdr:row>4</xdr:row>
      <xdr:rowOff>169333</xdr:rowOff>
    </xdr:to>
    <xdr:pic>
      <xdr:nvPicPr>
        <xdr:cNvPr id="14" name="Gráfico 1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29071A-EACC-4597-A5FF-E5E5E191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50850" y="487892"/>
          <a:ext cx="299507" cy="295274"/>
        </a:xfrm>
        <a:prstGeom prst="rect">
          <a:avLst/>
        </a:prstGeom>
      </xdr:spPr>
    </xdr:pic>
    <xdr:clientData/>
  </xdr:twoCellAnchor>
  <xdr:twoCellAnchor>
    <xdr:from>
      <xdr:col>0</xdr:col>
      <xdr:colOff>466724</xdr:colOff>
      <xdr:row>8</xdr:row>
      <xdr:rowOff>152399</xdr:rowOff>
    </xdr:from>
    <xdr:to>
      <xdr:col>16</xdr:col>
      <xdr:colOff>19049</xdr:colOff>
      <xdr:row>30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5380AD4-9CC6-462F-BC1F-1FEC773A76B4}"/>
            </a:ext>
            <a:ext uri="{147F2762-F138-4A5C-976F-8EAC2B608ADB}">
              <a16:predDERef xmlns:a16="http://schemas.microsoft.com/office/drawing/2014/main" pred="{8329071A-EACC-4597-A5FF-E5E5E1915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17</xdr:col>
      <xdr:colOff>1290108</xdr:colOff>
      <xdr:row>2</xdr:row>
      <xdr:rowOff>107025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B4018D1F-5697-3E1F-E0DF-CC1259BA0F87}"/>
            </a:ext>
          </a:extLst>
        </xdr:cNvPr>
        <xdr:cNvGrpSpPr/>
      </xdr:nvGrpSpPr>
      <xdr:grpSpPr>
        <a:xfrm>
          <a:off x="0" y="42333"/>
          <a:ext cx="15344775" cy="297525"/>
          <a:chOff x="0" y="42333"/>
          <a:chExt cx="15344775" cy="297525"/>
        </a:xfrm>
      </xdr:grpSpPr>
      <xdr:sp macro="" textlink="">
        <xdr:nvSpPr>
          <xdr:cNvPr id="18" name="Retângulo: Cantos Superiores Arredondados 1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3B6E20F-9662-16FF-8B12-7A475377AC5F}"/>
              </a:ext>
            </a:extLst>
          </xdr:cNvPr>
          <xdr:cNvSpPr>
            <a:spLocks/>
          </xdr:cNvSpPr>
        </xdr:nvSpPr>
        <xdr:spPr>
          <a:xfrm>
            <a:off x="0" y="42333"/>
            <a:ext cx="169194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C4D845D-0326-5BBC-B2C8-6D9093F58D88}"/>
              </a:ext>
            </a:extLst>
          </xdr:cNvPr>
          <xdr:cNvSpPr>
            <a:spLocks/>
          </xdr:cNvSpPr>
        </xdr:nvSpPr>
        <xdr:spPr>
          <a:xfrm>
            <a:off x="1688187" y="51858"/>
            <a:ext cx="169045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D2A4A7E9-878B-CA42-0C59-68ED31CD8BD7}"/>
              </a:ext>
            </a:extLst>
          </xdr:cNvPr>
          <xdr:cNvSpPr>
            <a:spLocks/>
          </xdr:cNvSpPr>
        </xdr:nvSpPr>
        <xdr:spPr>
          <a:xfrm>
            <a:off x="11946894" y="51858"/>
            <a:ext cx="171805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71D5F6F-1D55-1D45-EC76-26C056C4DFA7}"/>
              </a:ext>
            </a:extLst>
          </xdr:cNvPr>
          <xdr:cNvSpPr>
            <a:spLocks/>
          </xdr:cNvSpPr>
        </xdr:nvSpPr>
        <xdr:spPr>
          <a:xfrm>
            <a:off x="10130161" y="51858"/>
            <a:ext cx="182768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92A886C5-FF28-981A-34D1-5E23D319A13E}"/>
              </a:ext>
            </a:extLst>
          </xdr:cNvPr>
          <xdr:cNvSpPr>
            <a:spLocks/>
          </xdr:cNvSpPr>
        </xdr:nvSpPr>
        <xdr:spPr>
          <a:xfrm>
            <a:off x="3375606" y="51858"/>
            <a:ext cx="169567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76EF8D22-8A5C-77D8-F3D8-3138E13F06AE}"/>
              </a:ext>
            </a:extLst>
          </xdr:cNvPr>
          <xdr:cNvSpPr>
            <a:spLocks/>
          </xdr:cNvSpPr>
        </xdr:nvSpPr>
        <xdr:spPr>
          <a:xfrm>
            <a:off x="8426205" y="51858"/>
            <a:ext cx="171843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EE75AA77-7A4E-F840-0820-A94EEAB78AB3}"/>
              </a:ext>
            </a:extLst>
          </xdr:cNvPr>
          <xdr:cNvSpPr>
            <a:spLocks/>
          </xdr:cNvSpPr>
        </xdr:nvSpPr>
        <xdr:spPr>
          <a:xfrm>
            <a:off x="6746334" y="51858"/>
            <a:ext cx="17072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DD1AA668-B498-09CE-85F5-1C0935306B8B}"/>
              </a:ext>
            </a:extLst>
          </xdr:cNvPr>
          <xdr:cNvSpPr>
            <a:spLocks/>
          </xdr:cNvSpPr>
        </xdr:nvSpPr>
        <xdr:spPr>
          <a:xfrm>
            <a:off x="5065036" y="51858"/>
            <a:ext cx="169045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49F3E59A-0B07-4F28-A5DE-4367EE018FCF}"/>
              </a:ext>
            </a:extLst>
          </xdr:cNvPr>
          <xdr:cNvSpPr>
            <a:spLocks/>
          </xdr:cNvSpPr>
        </xdr:nvSpPr>
        <xdr:spPr>
          <a:xfrm>
            <a:off x="13655810" y="51858"/>
            <a:ext cx="16889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3</xdr:row>
      <xdr:rowOff>28575</xdr:rowOff>
    </xdr:from>
    <xdr:to>
      <xdr:col>1</xdr:col>
      <xdr:colOff>1333500</xdr:colOff>
      <xdr:row>4</xdr:row>
      <xdr:rowOff>200025</xdr:rowOff>
    </xdr:to>
    <xdr:pic>
      <xdr:nvPicPr>
        <xdr:cNvPr id="67" name="Gráfico 66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6ECE3E-1926-45D6-9244-DD4813A4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47675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</xdr:row>
      <xdr:rowOff>66676</xdr:rowOff>
    </xdr:from>
    <xdr:to>
      <xdr:col>1</xdr:col>
      <xdr:colOff>495299</xdr:colOff>
      <xdr:row>4</xdr:row>
      <xdr:rowOff>171450</xdr:rowOff>
    </xdr:to>
    <xdr:pic>
      <xdr:nvPicPr>
        <xdr:cNvPr id="68" name="Gráfico 67" descr="Calculadora">
          <a:extLst>
            <a:ext uri="{FF2B5EF4-FFF2-40B4-BE49-F238E27FC236}">
              <a16:creationId xmlns:a16="http://schemas.microsoft.com/office/drawing/2014/main" id="{D44BC404-76E7-4BAF-A571-D9A59CEA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47675" y="48577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9525</xdr:rowOff>
    </xdr:from>
    <xdr:to>
      <xdr:col>15</xdr:col>
      <xdr:colOff>0</xdr:colOff>
      <xdr:row>2</xdr:row>
      <xdr:rowOff>108083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6B10BF75-F06D-C865-0EA4-4A480E504A91}"/>
            </a:ext>
          </a:extLst>
        </xdr:cNvPr>
        <xdr:cNvGrpSpPr/>
      </xdr:nvGrpSpPr>
      <xdr:grpSpPr>
        <a:xfrm>
          <a:off x="0" y="51858"/>
          <a:ext cx="16171333" cy="289058"/>
          <a:chOff x="0" y="51858"/>
          <a:chExt cx="16171333" cy="289058"/>
        </a:xfrm>
      </xdr:grpSpPr>
      <xdr:sp macro="" textlink="">
        <xdr:nvSpPr>
          <xdr:cNvPr id="3" name="Retângulo: Cantos Superiores Arredondados 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D4FF1C9E-B646-A158-30D3-DB5C841345DB}"/>
              </a:ext>
            </a:extLst>
          </xdr:cNvPr>
          <xdr:cNvSpPr>
            <a:spLocks/>
          </xdr:cNvSpPr>
        </xdr:nvSpPr>
        <xdr:spPr>
          <a:xfrm>
            <a:off x="0" y="52916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565D3BC-87EF-00A8-8541-9A7816711ED6}"/>
              </a:ext>
            </a:extLst>
          </xdr:cNvPr>
          <xdr:cNvSpPr>
            <a:spLocks/>
          </xdr:cNvSpPr>
        </xdr:nvSpPr>
        <xdr:spPr>
          <a:xfrm>
            <a:off x="1779239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C7894809-E152-20EB-7893-109446D74357}"/>
              </a:ext>
            </a:extLst>
          </xdr:cNvPr>
          <xdr:cNvSpPr>
            <a:spLocks/>
          </xdr:cNvSpPr>
        </xdr:nvSpPr>
        <xdr:spPr>
          <a:xfrm>
            <a:off x="12591247" y="51858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C5E4E17E-51EB-383B-7593-A25E33E6103A}"/>
              </a:ext>
            </a:extLst>
          </xdr:cNvPr>
          <xdr:cNvSpPr>
            <a:spLocks/>
          </xdr:cNvSpPr>
        </xdr:nvSpPr>
        <xdr:spPr>
          <a:xfrm>
            <a:off x="10676529" y="51858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CFDD8D3D-BDC9-9955-078C-3B3158F0D91A}"/>
              </a:ext>
            </a:extLst>
          </xdr:cNvPr>
          <xdr:cNvSpPr>
            <a:spLocks/>
          </xdr:cNvSpPr>
        </xdr:nvSpPr>
        <xdr:spPr>
          <a:xfrm>
            <a:off x="3557669" y="51858"/>
            <a:ext cx="1787132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364DEF2B-F0A7-53F4-E4E8-5EA8B7D32EA0}"/>
              </a:ext>
            </a:extLst>
          </xdr:cNvPr>
          <xdr:cNvSpPr>
            <a:spLocks/>
          </xdr:cNvSpPr>
        </xdr:nvSpPr>
        <xdr:spPr>
          <a:xfrm>
            <a:off x="8880670" y="51858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A2734467-ECDA-3F20-317A-AE4737979A74}"/>
              </a:ext>
            </a:extLst>
          </xdr:cNvPr>
          <xdr:cNvSpPr>
            <a:spLocks/>
          </xdr:cNvSpPr>
        </xdr:nvSpPr>
        <xdr:spPr>
          <a:xfrm>
            <a:off x="7110196" y="51858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96F17DBA-F336-5D9D-FF2E-507824B69628}"/>
              </a:ext>
            </a:extLst>
          </xdr:cNvPr>
          <xdr:cNvSpPr>
            <a:spLocks/>
          </xdr:cNvSpPr>
        </xdr:nvSpPr>
        <xdr:spPr>
          <a:xfrm>
            <a:off x="5338218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D6B39B2D-D4AE-6975-B3E4-65E878861FEF}"/>
              </a:ext>
            </a:extLst>
          </xdr:cNvPr>
          <xdr:cNvSpPr>
            <a:spLocks/>
          </xdr:cNvSpPr>
        </xdr:nvSpPr>
        <xdr:spPr>
          <a:xfrm>
            <a:off x="14392333" y="51858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19050</xdr:rowOff>
    </xdr:from>
    <xdr:to>
      <xdr:col>2</xdr:col>
      <xdr:colOff>361950</xdr:colOff>
      <xdr:row>4</xdr:row>
      <xdr:rowOff>190500</xdr:rowOff>
    </xdr:to>
    <xdr:pic>
      <xdr:nvPicPr>
        <xdr:cNvPr id="3" name="Gráfico 2" descr="Gráfico de barras">
          <a:extLst>
            <a:ext uri="{FF2B5EF4-FFF2-40B4-BE49-F238E27FC236}">
              <a16:creationId xmlns:a16="http://schemas.microsoft.com/office/drawing/2014/main" id="{6FC8BF09-1BD4-4BCF-8FD5-45CBFF05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47626</xdr:rowOff>
    </xdr:from>
    <xdr:to>
      <xdr:col>1</xdr:col>
      <xdr:colOff>123824</xdr:colOff>
      <xdr:row>4</xdr:row>
      <xdr:rowOff>152400</xdr:rowOff>
    </xdr:to>
    <xdr:pic>
      <xdr:nvPicPr>
        <xdr:cNvPr id="4" name="Gráfico 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D150DC-88D1-49B1-A304-55C1803A6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38150" y="466726"/>
          <a:ext cx="295274" cy="295274"/>
        </a:xfrm>
        <a:prstGeom prst="rect">
          <a:avLst/>
        </a:prstGeom>
      </xdr:spPr>
    </xdr:pic>
    <xdr:clientData/>
  </xdr:twoCellAnchor>
  <xdr:twoCellAnchor>
    <xdr:from>
      <xdr:col>2</xdr:col>
      <xdr:colOff>542926</xdr:colOff>
      <xdr:row>9</xdr:row>
      <xdr:rowOff>180975</xdr:rowOff>
    </xdr:from>
    <xdr:to>
      <xdr:col>13</xdr:col>
      <xdr:colOff>257175</xdr:colOff>
      <xdr:row>28</xdr:row>
      <xdr:rowOff>85725</xdr:rowOff>
    </xdr:to>
    <xdr:graphicFrame macro="">
      <xdr:nvGraphicFramePr>
        <xdr:cNvPr id="13" name="Gráfico 3">
          <a:extLst>
            <a:ext uri="{FF2B5EF4-FFF2-40B4-BE49-F238E27FC236}">
              <a16:creationId xmlns:a16="http://schemas.microsoft.com/office/drawing/2014/main" id="{AB6C0AE0-423A-4D05-9272-BCA11C3D62DA}"/>
            </a:ext>
            <a:ext uri="{147F2762-F138-4A5C-976F-8EAC2B608ADB}">
              <a16:predDERef xmlns:a16="http://schemas.microsoft.com/office/drawing/2014/main" pred="{1AD150DC-88D1-49B1-A304-55C1803A6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15</xdr:col>
      <xdr:colOff>3175000</xdr:colOff>
      <xdr:row>2</xdr:row>
      <xdr:rowOff>98558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FC2E2CF-3FBA-4100-A352-7DDF8FE6F02B}"/>
            </a:ext>
          </a:extLst>
        </xdr:cNvPr>
        <xdr:cNvGrpSpPr/>
      </xdr:nvGrpSpPr>
      <xdr:grpSpPr>
        <a:xfrm>
          <a:off x="0" y="42333"/>
          <a:ext cx="16152283" cy="289058"/>
          <a:chOff x="0" y="51858"/>
          <a:chExt cx="16171333" cy="289058"/>
        </a:xfrm>
      </xdr:grpSpPr>
      <xdr:sp macro="" textlink="">
        <xdr:nvSpPr>
          <xdr:cNvPr id="5" name="Retângulo: Cantos Superiores Arredondados 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4D32B00-D10C-B0ED-3529-8E013748A769}"/>
              </a:ext>
            </a:extLst>
          </xdr:cNvPr>
          <xdr:cNvSpPr>
            <a:spLocks/>
          </xdr:cNvSpPr>
        </xdr:nvSpPr>
        <xdr:spPr>
          <a:xfrm>
            <a:off x="0" y="52916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D117BE9-E094-1FE1-012F-7394F4302661}"/>
              </a:ext>
            </a:extLst>
          </xdr:cNvPr>
          <xdr:cNvSpPr>
            <a:spLocks/>
          </xdr:cNvSpPr>
        </xdr:nvSpPr>
        <xdr:spPr>
          <a:xfrm>
            <a:off x="1779239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B302048-7568-E2B4-07AC-C3BE50B204A9}"/>
              </a:ext>
            </a:extLst>
          </xdr:cNvPr>
          <xdr:cNvSpPr>
            <a:spLocks/>
          </xdr:cNvSpPr>
        </xdr:nvSpPr>
        <xdr:spPr>
          <a:xfrm>
            <a:off x="12591247" y="51858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4E13BD25-8FEE-3A1C-46C4-5C5F23A64ED6}"/>
              </a:ext>
            </a:extLst>
          </xdr:cNvPr>
          <xdr:cNvSpPr>
            <a:spLocks/>
          </xdr:cNvSpPr>
        </xdr:nvSpPr>
        <xdr:spPr>
          <a:xfrm>
            <a:off x="10676529" y="51858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8462550-4FC8-22B3-F59A-53605EB45B79}"/>
              </a:ext>
            </a:extLst>
          </xdr:cNvPr>
          <xdr:cNvSpPr>
            <a:spLocks/>
          </xdr:cNvSpPr>
        </xdr:nvSpPr>
        <xdr:spPr>
          <a:xfrm>
            <a:off x="3557669" y="51858"/>
            <a:ext cx="1787132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4FBC6C9-A150-160D-1053-6DC42256D03D}"/>
              </a:ext>
            </a:extLst>
          </xdr:cNvPr>
          <xdr:cNvSpPr>
            <a:spLocks/>
          </xdr:cNvSpPr>
        </xdr:nvSpPr>
        <xdr:spPr>
          <a:xfrm>
            <a:off x="8880670" y="51858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654D4A6F-E3A5-5149-29BB-46697CC15165}"/>
              </a:ext>
            </a:extLst>
          </xdr:cNvPr>
          <xdr:cNvSpPr>
            <a:spLocks/>
          </xdr:cNvSpPr>
        </xdr:nvSpPr>
        <xdr:spPr>
          <a:xfrm>
            <a:off x="7110196" y="51858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CC48DFAB-A3B8-3084-9F6A-70B9A7230EF9}"/>
              </a:ext>
            </a:extLst>
          </xdr:cNvPr>
          <xdr:cNvSpPr>
            <a:spLocks/>
          </xdr:cNvSpPr>
        </xdr:nvSpPr>
        <xdr:spPr>
          <a:xfrm>
            <a:off x="5338218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6058B2B0-A7EA-2C1F-800B-7E9BB82C231F}"/>
              </a:ext>
            </a:extLst>
          </xdr:cNvPr>
          <xdr:cNvSpPr>
            <a:spLocks/>
          </xdr:cNvSpPr>
        </xdr:nvSpPr>
        <xdr:spPr>
          <a:xfrm>
            <a:off x="14392333" y="51858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2</xdr:row>
      <xdr:rowOff>109141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89439546-E1D9-CED0-C090-2B215AD9391D}"/>
            </a:ext>
          </a:extLst>
        </xdr:cNvPr>
        <xdr:cNvGrpSpPr/>
      </xdr:nvGrpSpPr>
      <xdr:grpSpPr>
        <a:xfrm>
          <a:off x="0" y="42333"/>
          <a:ext cx="16234833" cy="289058"/>
          <a:chOff x="0" y="42333"/>
          <a:chExt cx="16171333" cy="289058"/>
        </a:xfrm>
      </xdr:grpSpPr>
      <xdr:sp macro="" textlink="">
        <xdr:nvSpPr>
          <xdr:cNvPr id="15" name="Retângulo: Cantos Superiores Arredondados 1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BBF795B-6447-7C17-AF73-F6EC49CEE0A8}"/>
              </a:ext>
            </a:extLst>
          </xdr:cNvPr>
          <xdr:cNvSpPr>
            <a:spLocks/>
          </xdr:cNvSpPr>
        </xdr:nvSpPr>
        <xdr:spPr>
          <a:xfrm>
            <a:off x="0" y="43391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853DC30-EC0E-5A43-B0BD-1613D14E9E4F}"/>
              </a:ext>
            </a:extLst>
          </xdr:cNvPr>
          <xdr:cNvSpPr>
            <a:spLocks/>
          </xdr:cNvSpPr>
        </xdr:nvSpPr>
        <xdr:spPr>
          <a:xfrm>
            <a:off x="1779239" y="42333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713F7A9-C9A9-1B12-EB42-392536C89511}"/>
              </a:ext>
            </a:extLst>
          </xdr:cNvPr>
          <xdr:cNvSpPr>
            <a:spLocks/>
          </xdr:cNvSpPr>
        </xdr:nvSpPr>
        <xdr:spPr>
          <a:xfrm>
            <a:off x="12591247" y="42333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D3F7E4-C916-038E-C559-6FC8CE8CD88E}"/>
              </a:ext>
            </a:extLst>
          </xdr:cNvPr>
          <xdr:cNvSpPr>
            <a:spLocks/>
          </xdr:cNvSpPr>
        </xdr:nvSpPr>
        <xdr:spPr>
          <a:xfrm>
            <a:off x="10676529" y="42333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44B612B-E002-10AD-56B7-47A3F5CCC536}"/>
              </a:ext>
            </a:extLst>
          </xdr:cNvPr>
          <xdr:cNvSpPr>
            <a:spLocks/>
          </xdr:cNvSpPr>
        </xdr:nvSpPr>
        <xdr:spPr>
          <a:xfrm>
            <a:off x="3557669" y="42333"/>
            <a:ext cx="178713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556FB261-028B-E52E-6983-9B0A0DCDD516}"/>
              </a:ext>
            </a:extLst>
          </xdr:cNvPr>
          <xdr:cNvSpPr>
            <a:spLocks/>
          </xdr:cNvSpPr>
        </xdr:nvSpPr>
        <xdr:spPr>
          <a:xfrm>
            <a:off x="8880670" y="42333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680A66A-E4BC-058E-99A3-63F39B156A95}"/>
              </a:ext>
            </a:extLst>
          </xdr:cNvPr>
          <xdr:cNvSpPr>
            <a:spLocks/>
          </xdr:cNvSpPr>
        </xdr:nvSpPr>
        <xdr:spPr>
          <a:xfrm>
            <a:off x="7110196" y="42333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5BC5DBCB-C762-6901-6DAE-624149398FC2}"/>
              </a:ext>
            </a:extLst>
          </xdr:cNvPr>
          <xdr:cNvSpPr>
            <a:spLocks/>
          </xdr:cNvSpPr>
        </xdr:nvSpPr>
        <xdr:spPr>
          <a:xfrm>
            <a:off x="5338218" y="42333"/>
            <a:ext cx="1781630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BDB61AE1-4616-F8E9-D09B-A04CFFC44DD2}"/>
              </a:ext>
            </a:extLst>
          </xdr:cNvPr>
          <xdr:cNvSpPr>
            <a:spLocks/>
          </xdr:cNvSpPr>
        </xdr:nvSpPr>
        <xdr:spPr>
          <a:xfrm>
            <a:off x="14392333" y="42333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2</xdr:row>
      <xdr:rowOff>110464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FE741EC2-5E26-985B-C64E-E32042D2B491}"/>
            </a:ext>
          </a:extLst>
        </xdr:cNvPr>
        <xdr:cNvGrpSpPr/>
      </xdr:nvGrpSpPr>
      <xdr:grpSpPr>
        <a:xfrm>
          <a:off x="0" y="42333"/>
          <a:ext cx="16203083" cy="290381"/>
          <a:chOff x="0" y="35719"/>
          <a:chExt cx="16168688" cy="289058"/>
        </a:xfrm>
      </xdr:grpSpPr>
      <xdr:sp macro="" textlink="">
        <xdr:nvSpPr>
          <xdr:cNvPr id="13" name="Retângulo: Cantos Superiores Arredondados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52351CC-9CF4-A5CE-82B1-A3BA8541C177}"/>
              </a:ext>
            </a:extLst>
          </xdr:cNvPr>
          <xdr:cNvSpPr>
            <a:spLocks/>
          </xdr:cNvSpPr>
        </xdr:nvSpPr>
        <xdr:spPr>
          <a:xfrm>
            <a:off x="0" y="36777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80E8AD-E071-D704-5816-C556CD585208}"/>
              </a:ext>
            </a:extLst>
          </xdr:cNvPr>
          <xdr:cNvSpPr>
            <a:spLocks/>
          </xdr:cNvSpPr>
        </xdr:nvSpPr>
        <xdr:spPr>
          <a:xfrm>
            <a:off x="1779239" y="35719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A2939B3-83CD-240C-0D96-7F3892233498}"/>
              </a:ext>
            </a:extLst>
          </xdr:cNvPr>
          <xdr:cNvSpPr>
            <a:spLocks/>
          </xdr:cNvSpPr>
        </xdr:nvSpPr>
        <xdr:spPr>
          <a:xfrm>
            <a:off x="12591247" y="35719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3926454-DB52-1C41-2BCC-DBAC79763420}"/>
              </a:ext>
            </a:extLst>
          </xdr:cNvPr>
          <xdr:cNvSpPr>
            <a:spLocks/>
          </xdr:cNvSpPr>
        </xdr:nvSpPr>
        <xdr:spPr>
          <a:xfrm>
            <a:off x="10676529" y="35719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B7331AE-DB48-D05A-2172-FBA24531E10C}"/>
              </a:ext>
            </a:extLst>
          </xdr:cNvPr>
          <xdr:cNvSpPr>
            <a:spLocks/>
          </xdr:cNvSpPr>
        </xdr:nvSpPr>
        <xdr:spPr>
          <a:xfrm>
            <a:off x="3557669" y="35719"/>
            <a:ext cx="178713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446D1AE5-D45A-78A8-EB15-706F6E99FD20}"/>
              </a:ext>
            </a:extLst>
          </xdr:cNvPr>
          <xdr:cNvSpPr>
            <a:spLocks/>
          </xdr:cNvSpPr>
        </xdr:nvSpPr>
        <xdr:spPr>
          <a:xfrm>
            <a:off x="8880670" y="35719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3CA52F58-5702-0D12-3E2F-301621F7E415}"/>
              </a:ext>
            </a:extLst>
          </xdr:cNvPr>
          <xdr:cNvSpPr>
            <a:spLocks/>
          </xdr:cNvSpPr>
        </xdr:nvSpPr>
        <xdr:spPr>
          <a:xfrm>
            <a:off x="7110196" y="35719"/>
            <a:ext cx="179934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1E0CDC2-FD8E-2EED-9909-876D291694F0}"/>
              </a:ext>
            </a:extLst>
          </xdr:cNvPr>
          <xdr:cNvSpPr>
            <a:spLocks/>
          </xdr:cNvSpPr>
        </xdr:nvSpPr>
        <xdr:spPr>
          <a:xfrm>
            <a:off x="5338218" y="35719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08C259A-5E7E-32F5-7175-A7502359B3AC}"/>
              </a:ext>
            </a:extLst>
          </xdr:cNvPr>
          <xdr:cNvSpPr>
            <a:spLocks/>
          </xdr:cNvSpPr>
        </xdr:nvSpPr>
        <xdr:spPr>
          <a:xfrm>
            <a:off x="14392333" y="35719"/>
            <a:ext cx="177635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</xdr:row>
      <xdr:rowOff>0</xdr:rowOff>
    </xdr:from>
    <xdr:to>
      <xdr:col>1</xdr:col>
      <xdr:colOff>952500</xdr:colOff>
      <xdr:row>4</xdr:row>
      <xdr:rowOff>171450</xdr:rowOff>
    </xdr:to>
    <xdr:pic>
      <xdr:nvPicPr>
        <xdr:cNvPr id="38" name="Gráfico 37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7EA5BB-4562-4776-B351-AD6D9B8D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0150" y="4191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</xdr:row>
      <xdr:rowOff>19051</xdr:rowOff>
    </xdr:from>
    <xdr:to>
      <xdr:col>1</xdr:col>
      <xdr:colOff>104774</xdr:colOff>
      <xdr:row>4</xdr:row>
      <xdr:rowOff>123825</xdr:rowOff>
    </xdr:to>
    <xdr:pic>
      <xdr:nvPicPr>
        <xdr:cNvPr id="39" name="Gráfico 38" descr="Calculadora">
          <a:extLst>
            <a:ext uri="{FF2B5EF4-FFF2-40B4-BE49-F238E27FC236}">
              <a16:creationId xmlns:a16="http://schemas.microsoft.com/office/drawing/2014/main" id="{A6360DCB-88B9-41CB-9D23-AA1B2173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19100" y="4381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1374246</xdr:colOff>
      <xdr:row>2</xdr:row>
      <xdr:rowOff>98558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6392145E-839B-A11E-21D7-2FAE17B24091}"/>
            </a:ext>
          </a:extLst>
        </xdr:cNvPr>
        <xdr:cNvGrpSpPr/>
      </xdr:nvGrpSpPr>
      <xdr:grpSpPr>
        <a:xfrm>
          <a:off x="0" y="34636"/>
          <a:ext cx="16146655" cy="289058"/>
          <a:chOff x="0" y="42333"/>
          <a:chExt cx="16159163" cy="289058"/>
        </a:xfrm>
      </xdr:grpSpPr>
      <xdr:sp macro="" textlink="">
        <xdr:nvSpPr>
          <xdr:cNvPr id="13" name="Retângulo: Cantos Superiores Arredondados 1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6EB2CEC-92E9-A866-2A10-9E0B465E2D6F}"/>
              </a:ext>
            </a:extLst>
          </xdr:cNvPr>
          <xdr:cNvSpPr>
            <a:spLocks/>
          </xdr:cNvSpPr>
        </xdr:nvSpPr>
        <xdr:spPr>
          <a:xfrm>
            <a:off x="0" y="43391"/>
            <a:ext cx="178215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27CEFC6-7773-6DDB-55FE-54B85FD33225}"/>
              </a:ext>
            </a:extLst>
          </xdr:cNvPr>
          <xdr:cNvSpPr>
            <a:spLocks/>
          </xdr:cNvSpPr>
        </xdr:nvSpPr>
        <xdr:spPr>
          <a:xfrm>
            <a:off x="1778191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67D641C1-5F81-2CFE-5F3F-549B0A87ECB0}"/>
              </a:ext>
            </a:extLst>
          </xdr:cNvPr>
          <xdr:cNvSpPr>
            <a:spLocks/>
          </xdr:cNvSpPr>
        </xdr:nvSpPr>
        <xdr:spPr>
          <a:xfrm>
            <a:off x="12583829" y="42333"/>
            <a:ext cx="18096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CB295BE7-B228-B361-6375-B2A104CC9511}"/>
              </a:ext>
            </a:extLst>
          </xdr:cNvPr>
          <xdr:cNvSpPr>
            <a:spLocks/>
          </xdr:cNvSpPr>
        </xdr:nvSpPr>
        <xdr:spPr>
          <a:xfrm>
            <a:off x="10670239" y="42333"/>
            <a:ext cx="192512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F7DC7228-083B-B0E8-A12E-9AE2457BD24F}"/>
              </a:ext>
            </a:extLst>
          </xdr:cNvPr>
          <xdr:cNvSpPr>
            <a:spLocks/>
          </xdr:cNvSpPr>
        </xdr:nvSpPr>
        <xdr:spPr>
          <a:xfrm>
            <a:off x="3555573" y="42333"/>
            <a:ext cx="17860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352F801F-BCAA-0A2E-5075-A703340DB2AC}"/>
              </a:ext>
            </a:extLst>
          </xdr:cNvPr>
          <xdr:cNvSpPr>
            <a:spLocks/>
          </xdr:cNvSpPr>
        </xdr:nvSpPr>
        <xdr:spPr>
          <a:xfrm>
            <a:off x="8875438" y="42333"/>
            <a:ext cx="1810054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B56E28CB-2D5E-3BD4-7D48-446D46937527}"/>
              </a:ext>
            </a:extLst>
          </xdr:cNvPr>
          <xdr:cNvSpPr>
            <a:spLocks/>
          </xdr:cNvSpPr>
        </xdr:nvSpPr>
        <xdr:spPr>
          <a:xfrm>
            <a:off x="7106007" y="42333"/>
            <a:ext cx="177341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DCA359D8-5B41-26D4-7D32-6C656305E514}"/>
              </a:ext>
            </a:extLst>
          </xdr:cNvPr>
          <xdr:cNvSpPr>
            <a:spLocks/>
          </xdr:cNvSpPr>
        </xdr:nvSpPr>
        <xdr:spPr>
          <a:xfrm>
            <a:off x="5335073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2F2A62F-41EB-5BD8-91EF-E2753BEA4049}"/>
              </a:ext>
            </a:extLst>
          </xdr:cNvPr>
          <xdr:cNvSpPr>
            <a:spLocks/>
          </xdr:cNvSpPr>
        </xdr:nvSpPr>
        <xdr:spPr>
          <a:xfrm>
            <a:off x="14383854" y="42333"/>
            <a:ext cx="177530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>
        <row r="9">
          <cell r="D9">
            <v>0.12106060606060608</v>
          </cell>
        </row>
        <row r="12">
          <cell r="D12">
            <v>2.1985163471443414E-2</v>
          </cell>
        </row>
        <row r="13">
          <cell r="D13">
            <v>-1.1395249954443298E-2</v>
          </cell>
        </row>
        <row r="15">
          <cell r="D15">
            <v>-4.1405391204552E-2</v>
          </cell>
        </row>
        <row r="16">
          <cell r="D16">
            <v>-6.7652311243394214E-2</v>
          </cell>
        </row>
      </sheetData>
      <sheetData sheetId="1">
        <row r="9">
          <cell r="D9">
            <v>0.28999999999999998</v>
          </cell>
        </row>
        <row r="10">
          <cell r="D10">
            <v>0.08</v>
          </cell>
        </row>
        <row r="11">
          <cell r="D11">
            <v>415</v>
          </cell>
        </row>
        <row r="12">
          <cell r="D12">
            <v>8.3333333333333329E-2</v>
          </cell>
        </row>
        <row r="13">
          <cell r="D13">
            <v>2.7777777777777776E-2</v>
          </cell>
        </row>
        <row r="15">
          <cell r="D15">
            <v>0.1</v>
          </cell>
        </row>
        <row r="16">
          <cell r="D16">
            <v>0.2</v>
          </cell>
        </row>
        <row r="17">
          <cell r="D17">
            <v>0.4</v>
          </cell>
        </row>
        <row r="18">
          <cell r="D18">
            <v>1.4999999999999999E-2</v>
          </cell>
        </row>
        <row r="19">
          <cell r="D19">
            <v>0</v>
          </cell>
        </row>
        <row r="20">
          <cell r="D20">
            <v>0.2</v>
          </cell>
        </row>
        <row r="21">
          <cell r="D21">
            <v>0</v>
          </cell>
        </row>
        <row r="22">
          <cell r="D22">
            <v>7.5</v>
          </cell>
        </row>
        <row r="23">
          <cell r="D23">
            <v>6</v>
          </cell>
        </row>
        <row r="24">
          <cell r="D24">
            <v>5</v>
          </cell>
        </row>
        <row r="25">
          <cell r="D25">
            <v>20</v>
          </cell>
        </row>
        <row r="26">
          <cell r="D26">
            <v>46</v>
          </cell>
        </row>
        <row r="27">
          <cell r="D27">
            <v>50</v>
          </cell>
        </row>
        <row r="28">
          <cell r="D28">
            <v>12</v>
          </cell>
        </row>
      </sheetData>
      <sheetData sheetId="2">
        <row r="9">
          <cell r="C9" t="str">
            <v>PRESIDENTE</v>
          </cell>
          <cell r="E9">
            <v>22456.841666666671</v>
          </cell>
          <cell r="F9">
            <v>22950.559001760659</v>
          </cell>
          <cell r="G9">
            <v>275406.70802112791</v>
          </cell>
          <cell r="L9">
            <v>22950.559001760659</v>
          </cell>
          <cell r="M9">
            <v>7650.1863339202191</v>
          </cell>
          <cell r="N9">
            <v>88742.161473474553</v>
          </cell>
          <cell r="O9">
            <v>24480.596268544705</v>
          </cell>
          <cell r="P9">
            <v>4131.1006203169181</v>
          </cell>
          <cell r="Q9">
            <v>55081.341604225585</v>
          </cell>
          <cell r="R9">
            <v>0</v>
          </cell>
          <cell r="S9">
            <v>203035.94530224265</v>
          </cell>
          <cell r="T9">
            <v>478442.65332337056</v>
          </cell>
          <cell r="U9">
            <v>39870.22111028088</v>
          </cell>
          <cell r="V9">
            <v>277.3580598976061</v>
          </cell>
        </row>
        <row r="10">
          <cell r="C10" t="str">
            <v>DIRETOR</v>
          </cell>
          <cell r="E10">
            <v>20204.134999999998</v>
          </cell>
          <cell r="F10">
            <v>20648.32621077411</v>
          </cell>
          <cell r="G10">
            <v>247779.91452928932</v>
          </cell>
          <cell r="L10">
            <v>20648.32621077411</v>
          </cell>
          <cell r="M10">
            <v>6882.7754035913695</v>
          </cell>
          <cell r="N10">
            <v>79840.194681659894</v>
          </cell>
          <cell r="O10">
            <v>22024.881291492387</v>
          </cell>
          <cell r="P10">
            <v>3716.6987179393395</v>
          </cell>
          <cell r="Q10">
            <v>49555.982905857869</v>
          </cell>
          <cell r="R10">
            <v>0</v>
          </cell>
          <cell r="S10">
            <v>182668.85921131496</v>
          </cell>
          <cell r="T10">
            <v>430448.77374060429</v>
          </cell>
          <cell r="U10">
            <v>35870.731145050355</v>
          </cell>
          <cell r="V10">
            <v>249.53552100904597</v>
          </cell>
        </row>
        <row r="11">
          <cell r="C11" t="str">
            <v>AN.SUPORTE A-V</v>
          </cell>
          <cell r="E11">
            <v>14056.206458333332</v>
          </cell>
          <cell r="F11">
            <v>14365.23445510815</v>
          </cell>
          <cell r="G11">
            <v>172382.8134612978</v>
          </cell>
          <cell r="L11">
            <v>14365.23445510815</v>
          </cell>
          <cell r="M11">
            <v>4788.4114850360502</v>
          </cell>
          <cell r="N11">
            <v>55545.573226418179</v>
          </cell>
          <cell r="O11">
            <v>15322.916752115359</v>
          </cell>
          <cell r="P11">
            <v>2585.7422019194669</v>
          </cell>
          <cell r="Q11">
            <v>34476.562692259562</v>
          </cell>
          <cell r="R11">
            <v>0</v>
          </cell>
          <cell r="S11">
            <v>127084.44081285677</v>
          </cell>
          <cell r="T11">
            <v>299467.25427415455</v>
          </cell>
          <cell r="U11">
            <v>24955.604522846214</v>
          </cell>
          <cell r="V11">
            <v>173.60420537632149</v>
          </cell>
        </row>
        <row r="12">
          <cell r="C12" t="str">
            <v>ANAL.OPERAC. IV</v>
          </cell>
          <cell r="E12">
            <v>12310.005869565217</v>
          </cell>
          <cell r="F12">
            <v>12580.643360942036</v>
          </cell>
          <cell r="G12">
            <v>150967.72033130444</v>
          </cell>
          <cell r="L12">
            <v>12580.643360942036</v>
          </cell>
          <cell r="M12">
            <v>4193.5477869806791</v>
          </cell>
          <cell r="N12">
            <v>48645.154328975877</v>
          </cell>
          <cell r="O12">
            <v>13419.352918338176</v>
          </cell>
          <cell r="P12">
            <v>2264.5158049695665</v>
          </cell>
          <cell r="Q12">
            <v>30193.544066260889</v>
          </cell>
          <cell r="R12">
            <v>0</v>
          </cell>
          <cell r="S12">
            <v>111296.75826646722</v>
          </cell>
          <cell r="T12">
            <v>262264.47859777167</v>
          </cell>
          <cell r="U12">
            <v>21855.373216480973</v>
          </cell>
          <cell r="V12">
            <v>152.03737889725895</v>
          </cell>
        </row>
        <row r="13">
          <cell r="C13" t="str">
            <v>AN.SUPORTE A-IV</v>
          </cell>
          <cell r="E13">
            <v>11291.15836666667</v>
          </cell>
          <cell r="F13">
            <v>11539.396329139792</v>
          </cell>
          <cell r="G13">
            <v>138472.75594967749</v>
          </cell>
          <cell r="L13">
            <v>11539.39632913979</v>
          </cell>
          <cell r="M13">
            <v>3846.4654430465966</v>
          </cell>
          <cell r="N13">
            <v>44618.999139340522</v>
          </cell>
          <cell r="O13">
            <v>12308.68941774911</v>
          </cell>
          <cell r="P13">
            <v>2077.0913392451621</v>
          </cell>
          <cell r="Q13">
            <v>27694.551189935501</v>
          </cell>
          <cell r="R13">
            <v>0</v>
          </cell>
          <cell r="S13">
            <v>102085.19285845668</v>
          </cell>
          <cell r="T13">
            <v>240557.94880813418</v>
          </cell>
          <cell r="U13">
            <v>20046.495734011183</v>
          </cell>
          <cell r="V13">
            <v>139.45388336703431</v>
          </cell>
        </row>
        <row r="14">
          <cell r="C14" t="str">
            <v>AN.SUPORTE A-III</v>
          </cell>
          <cell r="E14">
            <v>10932.878888888888</v>
          </cell>
          <cell r="F14">
            <v>11173.240018474604</v>
          </cell>
          <cell r="G14">
            <v>134078.88022169523</v>
          </cell>
          <cell r="L14">
            <v>11173.240018474602</v>
          </cell>
          <cell r="M14">
            <v>3724.4133394915339</v>
          </cell>
          <cell r="N14">
            <v>43203.194738101796</v>
          </cell>
          <cell r="O14">
            <v>11918.12268637291</v>
          </cell>
          <cell r="P14">
            <v>2011.1832033254284</v>
          </cell>
          <cell r="Q14">
            <v>26815.776044339047</v>
          </cell>
          <cell r="R14">
            <v>0</v>
          </cell>
          <cell r="S14">
            <v>98845.930030105315</v>
          </cell>
          <cell r="T14">
            <v>232924.81025180055</v>
          </cell>
          <cell r="U14">
            <v>19410.400854316711</v>
          </cell>
          <cell r="V14">
            <v>135.02887550829018</v>
          </cell>
        </row>
        <row r="15">
          <cell r="C15" t="str">
            <v>ANAL.OPERAC. III</v>
          </cell>
          <cell r="E15">
            <v>9956.3983854166672</v>
          </cell>
          <cell r="F15">
            <v>10175.291431506868</v>
          </cell>
          <cell r="G15">
            <v>122103.49717808241</v>
          </cell>
          <cell r="I15">
            <v>498</v>
          </cell>
          <cell r="L15">
            <v>10216.791431506867</v>
          </cell>
          <cell r="M15">
            <v>3405.5971438356223</v>
          </cell>
          <cell r="N15">
            <v>39504.926868493218</v>
          </cell>
          <cell r="O15">
            <v>10897.910860273993</v>
          </cell>
          <cell r="P15">
            <v>1831.5524576712362</v>
          </cell>
          <cell r="Q15">
            <v>24420.699435616483</v>
          </cell>
          <cell r="R15">
            <v>0</v>
          </cell>
          <cell r="S15">
            <v>90775.478197397417</v>
          </cell>
          <cell r="T15">
            <v>212878.97537547984</v>
          </cell>
          <cell r="U15">
            <v>17739.914614623322</v>
          </cell>
          <cell r="V15">
            <v>123.40810166694483</v>
          </cell>
        </row>
        <row r="16">
          <cell r="C16" t="str">
            <v>AN.SUPORTE B-III</v>
          </cell>
          <cell r="E16">
            <v>8422.9791666666661</v>
          </cell>
          <cell r="F16">
            <v>8608.1597405623943</v>
          </cell>
          <cell r="G16">
            <v>103297.91688674873</v>
          </cell>
          <cell r="L16">
            <v>8608.1597405623943</v>
          </cell>
          <cell r="M16">
            <v>2869.3865801874645</v>
          </cell>
          <cell r="N16">
            <v>33284.884330174587</v>
          </cell>
          <cell r="O16">
            <v>9182.0370565998874</v>
          </cell>
          <cell r="P16">
            <v>1549.4687533012309</v>
          </cell>
          <cell r="Q16">
            <v>20659.583377349747</v>
          </cell>
          <cell r="R16">
            <v>0</v>
          </cell>
          <cell r="S16">
            <v>76153.519838175314</v>
          </cell>
          <cell r="T16">
            <v>179451.43672492405</v>
          </cell>
          <cell r="U16">
            <v>14954.28639374367</v>
          </cell>
          <cell r="V16">
            <v>104.02981839126032</v>
          </cell>
        </row>
        <row r="17">
          <cell r="C17" t="str">
            <v>ANAL.OPERAC. II</v>
          </cell>
          <cell r="E17">
            <v>7928.1062847222238</v>
          </cell>
          <cell r="F17">
            <v>8102.4069974108197</v>
          </cell>
          <cell r="G17">
            <v>97228.883968929833</v>
          </cell>
          <cell r="I17">
            <v>498</v>
          </cell>
          <cell r="L17">
            <v>8143.9069974108188</v>
          </cell>
          <cell r="M17">
            <v>2714.6356658036061</v>
          </cell>
          <cell r="N17">
            <v>31489.773723321832</v>
          </cell>
          <cell r="O17">
            <v>8686.8341305715403</v>
          </cell>
          <cell r="P17">
            <v>1458.4332595339474</v>
          </cell>
          <cell r="Q17">
            <v>19445.776793785968</v>
          </cell>
          <cell r="R17">
            <v>0</v>
          </cell>
          <cell r="S17">
            <v>72437.360570427729</v>
          </cell>
          <cell r="T17">
            <v>169666.24453935755</v>
          </cell>
          <cell r="U17">
            <v>14138.853711613128</v>
          </cell>
          <cell r="V17">
            <v>98.357243211221771</v>
          </cell>
        </row>
        <row r="18">
          <cell r="C18" t="str">
            <v>AN.SUPORTE A-II</v>
          </cell>
          <cell r="E18">
            <v>6613.185625000001</v>
          </cell>
          <cell r="F18">
            <v>6758.5775920326259</v>
          </cell>
          <cell r="G18">
            <v>81102.931104391508</v>
          </cell>
          <cell r="L18">
            <v>6758.577592032625</v>
          </cell>
          <cell r="M18">
            <v>2252.8591973442085</v>
          </cell>
          <cell r="N18">
            <v>26133.166689192818</v>
          </cell>
          <cell r="O18">
            <v>7209.1494315014679</v>
          </cell>
          <cell r="P18">
            <v>1216.5439665658726</v>
          </cell>
          <cell r="Q18">
            <v>16220.586220878302</v>
          </cell>
          <cell r="R18">
            <v>0</v>
          </cell>
          <cell r="S18">
            <v>59790.883097515296</v>
          </cell>
          <cell r="T18">
            <v>140893.81420190679</v>
          </cell>
          <cell r="U18">
            <v>11741.151183492233</v>
          </cell>
          <cell r="V18">
            <v>81.677573450380748</v>
          </cell>
        </row>
        <row r="19">
          <cell r="C19" t="str">
            <v>TEC.CONTAB. II</v>
          </cell>
          <cell r="E19">
            <v>6534.2722916666671</v>
          </cell>
          <cell r="F19">
            <v>6677.929336165882</v>
          </cell>
          <cell r="G19">
            <v>80135.152033990584</v>
          </cell>
          <cell r="L19">
            <v>6677.929336165882</v>
          </cell>
          <cell r="M19">
            <v>2225.9764453886273</v>
          </cell>
          <cell r="N19">
            <v>25821.326766508075</v>
          </cell>
          <cell r="O19">
            <v>7123.1246252436076</v>
          </cell>
          <cell r="P19">
            <v>1202.0272805098587</v>
          </cell>
          <cell r="Q19">
            <v>16027.030406798118</v>
          </cell>
          <cell r="R19">
            <v>0</v>
          </cell>
          <cell r="S19">
            <v>59077.414860614175</v>
          </cell>
          <cell r="T19">
            <v>139212.56689460477</v>
          </cell>
          <cell r="U19">
            <v>11601.047241217064</v>
          </cell>
          <cell r="V19">
            <v>80.702937330205657</v>
          </cell>
        </row>
        <row r="20">
          <cell r="C20" t="str">
            <v>TEC.OPERAC. IV</v>
          </cell>
          <cell r="E20">
            <v>6300.295196078433</v>
          </cell>
          <cell r="F20">
            <v>6438.8082158825673</v>
          </cell>
          <cell r="G20">
            <v>77265.698590590808</v>
          </cell>
          <cell r="L20">
            <v>6438.8082158825673</v>
          </cell>
          <cell r="M20">
            <v>2146.2694052941888</v>
          </cell>
          <cell r="N20">
            <v>24896.725101412594</v>
          </cell>
          <cell r="O20">
            <v>6868.0620969414058</v>
          </cell>
          <cell r="P20">
            <v>1158.9854788588621</v>
          </cell>
          <cell r="Q20">
            <v>15453.139718118162</v>
          </cell>
          <cell r="R20">
            <v>0</v>
          </cell>
          <cell r="S20">
            <v>56961.990016507778</v>
          </cell>
          <cell r="T20">
            <v>134227.68860709859</v>
          </cell>
          <cell r="U20">
            <v>11185.640717258217</v>
          </cell>
          <cell r="V20">
            <v>77.81315281570933</v>
          </cell>
        </row>
        <row r="21">
          <cell r="C21" t="str">
            <v>TEC.CONTAB. III</v>
          </cell>
          <cell r="E21">
            <v>6095.7141666666676</v>
          </cell>
          <cell r="F21">
            <v>6229.7294390960278</v>
          </cell>
          <cell r="G21">
            <v>74756.753269152337</v>
          </cell>
          <cell r="L21">
            <v>6229.7294390960278</v>
          </cell>
          <cell r="M21">
            <v>2076.5764796986759</v>
          </cell>
          <cell r="N21">
            <v>24088.28716450464</v>
          </cell>
          <cell r="O21">
            <v>6645.0447350357636</v>
          </cell>
          <cell r="P21">
            <v>1121.3512990372851</v>
          </cell>
          <cell r="Q21">
            <v>14951.350653830468</v>
          </cell>
          <cell r="R21">
            <v>0</v>
          </cell>
          <cell r="S21">
            <v>55112.339771202853</v>
          </cell>
          <cell r="T21">
            <v>129869.09304035519</v>
          </cell>
          <cell r="U21">
            <v>10822.4244200296</v>
          </cell>
          <cell r="V21">
            <v>75.286430748031989</v>
          </cell>
        </row>
        <row r="22">
          <cell r="C22" t="str">
            <v>TEC.SEG.TRAB.III</v>
          </cell>
          <cell r="E22">
            <v>5847.2177083333336</v>
          </cell>
          <cell r="F22">
            <v>5975.7697455041607</v>
          </cell>
          <cell r="G22">
            <v>71709.236946049932</v>
          </cell>
          <cell r="L22">
            <v>5975.7697455041607</v>
          </cell>
          <cell r="M22">
            <v>1991.923248501387</v>
          </cell>
          <cell r="N22">
            <v>23106.309682616091</v>
          </cell>
          <cell r="O22">
            <v>6374.1543952044394</v>
          </cell>
          <cell r="P22">
            <v>1075.6385541907489</v>
          </cell>
          <cell r="Q22">
            <v>14341.847389209986</v>
          </cell>
          <cell r="R22">
            <v>0</v>
          </cell>
          <cell r="S22">
            <v>52865.643015226815</v>
          </cell>
          <cell r="T22">
            <v>124574.87996127675</v>
          </cell>
          <cell r="U22">
            <v>10381.239996773062</v>
          </cell>
          <cell r="V22">
            <v>72.217321716682179</v>
          </cell>
        </row>
        <row r="23">
          <cell r="C23" t="str">
            <v>TEC.SECRET. III</v>
          </cell>
          <cell r="E23">
            <v>5695.6366666666663</v>
          </cell>
          <cell r="F23">
            <v>5820.8561698572803</v>
          </cell>
          <cell r="G23">
            <v>69850.27403828736</v>
          </cell>
          <cell r="L23">
            <v>5820.8561698572794</v>
          </cell>
          <cell r="M23">
            <v>1940.2853899524266</v>
          </cell>
          <cell r="N23">
            <v>22507.310523448145</v>
          </cell>
          <cell r="O23">
            <v>6208.9132478477641</v>
          </cell>
          <cell r="P23">
            <v>1047.7541105743103</v>
          </cell>
          <cell r="Q23">
            <v>13970.054807657472</v>
          </cell>
          <cell r="R23">
            <v>0</v>
          </cell>
          <cell r="S23">
            <v>51495.174249337389</v>
          </cell>
          <cell r="T23">
            <v>121345.44828762475</v>
          </cell>
          <cell r="U23">
            <v>10112.120690635396</v>
          </cell>
          <cell r="V23">
            <v>70.345187413115795</v>
          </cell>
        </row>
        <row r="24">
          <cell r="C24" t="str">
            <v>ASSESSOR</v>
          </cell>
          <cell r="E24">
            <v>5286.5783914728681</v>
          </cell>
          <cell r="F24">
            <v>5402.8046816139995</v>
          </cell>
          <cell r="G24">
            <v>64833.656179367994</v>
          </cell>
          <cell r="L24">
            <v>5402.8046816139995</v>
          </cell>
          <cell r="M24">
            <v>1800.9348938713331</v>
          </cell>
          <cell r="N24">
            <v>20890.844768907467</v>
          </cell>
          <cell r="O24">
            <v>5762.9916603882666</v>
          </cell>
          <cell r="P24">
            <v>972.50484269051992</v>
          </cell>
          <cell r="Q24">
            <v>12966.7312358736</v>
          </cell>
          <cell r="R24">
            <v>0</v>
          </cell>
          <cell r="S24">
            <v>47796.812083345183</v>
          </cell>
          <cell r="T24">
            <v>112630.46826271317</v>
          </cell>
          <cell r="U24">
            <v>9385.8723552260981</v>
          </cell>
          <cell r="V24">
            <v>65.293025079833725</v>
          </cell>
        </row>
        <row r="25">
          <cell r="C25" t="str">
            <v>TEC.OPERAC. VI</v>
          </cell>
          <cell r="E25">
            <v>5244.7441666666664</v>
          </cell>
          <cell r="F25">
            <v>5360.0507245367326</v>
          </cell>
          <cell r="G25">
            <v>64320.608694440787</v>
          </cell>
          <cell r="L25">
            <v>5360.0507245367317</v>
          </cell>
          <cell r="M25">
            <v>1786.6835748455774</v>
          </cell>
          <cell r="N25">
            <v>20725.529468208697</v>
          </cell>
          <cell r="O25">
            <v>5717.3874395058483</v>
          </cell>
          <cell r="P25">
            <v>964.80913041661177</v>
          </cell>
          <cell r="Q25">
            <v>12864.121738888158</v>
          </cell>
          <cell r="R25">
            <v>0</v>
          </cell>
          <cell r="S25">
            <v>47418.582076401624</v>
          </cell>
          <cell r="T25">
            <v>111739.19077084241</v>
          </cell>
          <cell r="U25">
            <v>9311.5992309035337</v>
          </cell>
          <cell r="V25">
            <v>64.776342475850669</v>
          </cell>
        </row>
        <row r="26">
          <cell r="C26" t="str">
            <v>TEC.OPERAC. III</v>
          </cell>
          <cell r="E26">
            <v>5176.5381147540984</v>
          </cell>
          <cell r="F26">
            <v>5290.3451514231247</v>
          </cell>
          <cell r="G26">
            <v>63484.1418170775</v>
          </cell>
          <cell r="L26">
            <v>5290.3451514231247</v>
          </cell>
          <cell r="M26">
            <v>1763.4483838077083</v>
          </cell>
          <cell r="N26">
            <v>20456.001252169419</v>
          </cell>
          <cell r="O26">
            <v>5643.0348281846673</v>
          </cell>
          <cell r="P26">
            <v>952.26212725616244</v>
          </cell>
          <cell r="Q26">
            <v>12696.828363415501</v>
          </cell>
          <cell r="R26">
            <v>0</v>
          </cell>
          <cell r="S26">
            <v>46801.920106256584</v>
          </cell>
          <cell r="T26">
            <v>110286.06192333408</v>
          </cell>
          <cell r="U26">
            <v>9190.5051602778403</v>
          </cell>
          <cell r="V26">
            <v>63.933948941063235</v>
          </cell>
        </row>
        <row r="27">
          <cell r="C27" t="str">
            <v>AG.SUPORTE B-III</v>
          </cell>
          <cell r="E27">
            <v>5127.2628665123457</v>
          </cell>
          <cell r="F27">
            <v>5239.9865787936815</v>
          </cell>
          <cell r="G27">
            <v>62879.838945524178</v>
          </cell>
          <cell r="L27">
            <v>5239.9865787936815</v>
          </cell>
          <cell r="M27">
            <v>1746.6621929312271</v>
          </cell>
          <cell r="N27">
            <v>20261.281438002232</v>
          </cell>
          <cell r="O27">
            <v>5589.3190173799267</v>
          </cell>
          <cell r="P27">
            <v>943.19758418286267</v>
          </cell>
          <cell r="Q27">
            <v>12575.967789104836</v>
          </cell>
          <cell r="R27">
            <v>0</v>
          </cell>
          <cell r="S27">
            <v>46356.414600394761</v>
          </cell>
          <cell r="T27">
            <v>109236.25354591894</v>
          </cell>
          <cell r="U27">
            <v>9103.0211288265782</v>
          </cell>
          <cell r="V27">
            <v>63.325364374445762</v>
          </cell>
        </row>
        <row r="28">
          <cell r="C28" t="str">
            <v>TEC.INFORMAT.II</v>
          </cell>
          <cell r="E28">
            <v>4929.7445370370378</v>
          </cell>
          <cell r="F28">
            <v>5038.1257765562523</v>
          </cell>
          <cell r="G28">
            <v>60457.509318675031</v>
          </cell>
          <cell r="L28">
            <v>5038.1257765562523</v>
          </cell>
          <cell r="M28">
            <v>1679.375258852084</v>
          </cell>
          <cell r="N28">
            <v>19480.753002684174</v>
          </cell>
          <cell r="O28">
            <v>5374.0008283266698</v>
          </cell>
          <cell r="P28">
            <v>906.86263978012539</v>
          </cell>
          <cell r="Q28">
            <v>12091.501863735008</v>
          </cell>
          <cell r="R28">
            <v>0</v>
          </cell>
          <cell r="S28">
            <v>44570.619369934313</v>
          </cell>
          <cell r="T28">
            <v>105028.12868860934</v>
          </cell>
          <cell r="U28">
            <v>8752.3440573841126</v>
          </cell>
          <cell r="V28">
            <v>60.885871703541646</v>
          </cell>
        </row>
        <row r="29">
          <cell r="C29" t="str">
            <v>AG.OPERAC. A-VI</v>
          </cell>
          <cell r="E29">
            <v>4918.8289639639643</v>
          </cell>
          <cell r="F29">
            <v>5026.9702228247825</v>
          </cell>
          <cell r="G29">
            <v>60323.64267389739</v>
          </cell>
          <cell r="I29">
            <v>498</v>
          </cell>
          <cell r="L29">
            <v>5068.4702228247825</v>
          </cell>
          <cell r="M29">
            <v>1689.4900742749273</v>
          </cell>
          <cell r="N29">
            <v>19598.084861589159</v>
          </cell>
          <cell r="O29">
            <v>5406.3682376797688</v>
          </cell>
          <cell r="P29">
            <v>904.85464010846079</v>
          </cell>
          <cell r="Q29">
            <v>12064.728534779479</v>
          </cell>
          <cell r="R29">
            <v>0</v>
          </cell>
          <cell r="S29">
            <v>45229.996571256575</v>
          </cell>
          <cell r="T29">
            <v>105553.63924515396</v>
          </cell>
          <cell r="U29">
            <v>8796.1366037628304</v>
          </cell>
          <cell r="V29">
            <v>61.19051550443708</v>
          </cell>
        </row>
        <row r="30">
          <cell r="C30" t="str">
            <v>TEC.INFORMAT.III</v>
          </cell>
          <cell r="E30">
            <v>4898.1683333333331</v>
          </cell>
          <cell r="F30">
            <v>5005.8553648523139</v>
          </cell>
          <cell r="G30">
            <v>60070.264378227766</v>
          </cell>
          <cell r="L30">
            <v>5005.8553648523139</v>
          </cell>
          <cell r="M30">
            <v>1668.6184549507711</v>
          </cell>
          <cell r="N30">
            <v>19355.974077428946</v>
          </cell>
          <cell r="O30">
            <v>5339.5790558424687</v>
          </cell>
          <cell r="P30">
            <v>901.05396567341643</v>
          </cell>
          <cell r="Q30">
            <v>12014.052875645553</v>
          </cell>
          <cell r="R30">
            <v>0</v>
          </cell>
          <cell r="S30">
            <v>44285.13379439347</v>
          </cell>
          <cell r="T30">
            <v>104355.39817262124</v>
          </cell>
          <cell r="U30">
            <v>8696.2831810517691</v>
          </cell>
          <cell r="V30">
            <v>60.495882998621006</v>
          </cell>
        </row>
        <row r="31">
          <cell r="C31" t="str">
            <v>AN.SUPORTE A-I</v>
          </cell>
          <cell r="E31">
            <v>4876.5501255707759</v>
          </cell>
          <cell r="F31">
            <v>4983.7618772581372</v>
          </cell>
          <cell r="G31">
            <v>59805.142527097647</v>
          </cell>
          <cell r="L31">
            <v>4983.7618772581372</v>
          </cell>
          <cell r="M31">
            <v>1661.2539590860456</v>
          </cell>
          <cell r="N31">
            <v>19270.545925398128</v>
          </cell>
          <cell r="O31">
            <v>5316.0126690753459</v>
          </cell>
          <cell r="P31">
            <v>897.07713790646471</v>
          </cell>
          <cell r="Q31">
            <v>11961.02850541953</v>
          </cell>
          <cell r="R31">
            <v>0</v>
          </cell>
          <cell r="S31">
            <v>44089.680074143653</v>
          </cell>
          <cell r="T31">
            <v>103894.82260124129</v>
          </cell>
          <cell r="U31">
            <v>8657.9018834367744</v>
          </cell>
          <cell r="V31">
            <v>60.228882667386259</v>
          </cell>
        </row>
        <row r="32">
          <cell r="C32" t="str">
            <v>AG.OPERAC. B-III</v>
          </cell>
          <cell r="E32">
            <v>4575.4659761904768</v>
          </cell>
          <cell r="F32">
            <v>4676.0583436350516</v>
          </cell>
          <cell r="G32">
            <v>56112.70012362062</v>
          </cell>
          <cell r="L32">
            <v>4676.0583436350516</v>
          </cell>
          <cell r="M32">
            <v>1558.6861145450171</v>
          </cell>
          <cell r="N32">
            <v>18080.758928722196</v>
          </cell>
          <cell r="O32">
            <v>4987.795566544055</v>
          </cell>
          <cell r="P32">
            <v>841.69050185430922</v>
          </cell>
          <cell r="Q32">
            <v>11222.540024724125</v>
          </cell>
          <cell r="R32">
            <v>0</v>
          </cell>
          <cell r="S32">
            <v>41367.52948002475</v>
          </cell>
          <cell r="T32">
            <v>97480.229603645363</v>
          </cell>
          <cell r="U32">
            <v>8123.3524669704466</v>
          </cell>
          <cell r="V32">
            <v>56.510278031098764</v>
          </cell>
        </row>
        <row r="33">
          <cell r="C33" t="str">
            <v>ANAL.OPERAC. I</v>
          </cell>
          <cell r="E33">
            <v>4552.3954074074063</v>
          </cell>
          <cell r="F33">
            <v>4652.4805646259065</v>
          </cell>
          <cell r="G33">
            <v>55829.766775510878</v>
          </cell>
          <cell r="I33">
            <v>498</v>
          </cell>
          <cell r="L33">
            <v>4693.9805646259065</v>
          </cell>
          <cell r="M33">
            <v>1564.6601882086354</v>
          </cell>
          <cell r="N33">
            <v>18150.058183220168</v>
          </cell>
          <cell r="O33">
            <v>5006.9126022676337</v>
          </cell>
          <cell r="P33">
            <v>837.44650163266317</v>
          </cell>
          <cell r="Q33">
            <v>11165.953355102176</v>
          </cell>
          <cell r="R33">
            <v>0</v>
          </cell>
          <cell r="S33">
            <v>41917.011395057183</v>
          </cell>
          <cell r="T33">
            <v>97746.778170568054</v>
          </cell>
          <cell r="U33">
            <v>8145.5648475473381</v>
          </cell>
          <cell r="V33">
            <v>56.664798939459743</v>
          </cell>
        </row>
        <row r="34">
          <cell r="C34" t="str">
            <v>CONS. FISCAL</v>
          </cell>
          <cell r="E34">
            <v>4413.76</v>
          </cell>
          <cell r="F34">
            <v>4510.7972351237186</v>
          </cell>
          <cell r="G34">
            <v>54129.566821484623</v>
          </cell>
          <cell r="L34">
            <v>4510.7972351237186</v>
          </cell>
          <cell r="M34">
            <v>1503.5990783745729</v>
          </cell>
          <cell r="N34">
            <v>17441.749309145045</v>
          </cell>
          <cell r="O34">
            <v>4811.5170507986331</v>
          </cell>
          <cell r="P34">
            <v>811.9435023222693</v>
          </cell>
          <cell r="Q34">
            <v>10825.913364296925</v>
          </cell>
          <cell r="R34">
            <v>0</v>
          </cell>
          <cell r="S34">
            <v>39905.519540061163</v>
          </cell>
          <cell r="T34">
            <v>94035.086361545778</v>
          </cell>
          <cell r="U34">
            <v>7836.2571967954818</v>
          </cell>
          <cell r="V34">
            <v>54.513093542925091</v>
          </cell>
        </row>
        <row r="35">
          <cell r="C35" t="str">
            <v>AG.SUPORTE A-III</v>
          </cell>
          <cell r="E35">
            <v>4317.2598148148154</v>
          </cell>
          <cell r="F35">
            <v>4412.1754775922127</v>
          </cell>
          <cell r="G35">
            <v>52946.105731106552</v>
          </cell>
          <cell r="L35">
            <v>4412.1754775922127</v>
          </cell>
          <cell r="M35">
            <v>1470.7251591974041</v>
          </cell>
          <cell r="N35">
            <v>17060.411846689891</v>
          </cell>
          <cell r="O35">
            <v>4706.3205094316936</v>
          </cell>
          <cell r="P35">
            <v>794.19158596659827</v>
          </cell>
          <cell r="Q35">
            <v>10589.221146221311</v>
          </cell>
          <cell r="R35">
            <v>0</v>
          </cell>
          <cell r="S35">
            <v>39033.045725099109</v>
          </cell>
          <cell r="T35">
            <v>91979.151456205669</v>
          </cell>
          <cell r="U35">
            <v>7664.9292880171388</v>
          </cell>
          <cell r="V35">
            <v>53.321247220988795</v>
          </cell>
        </row>
        <row r="36">
          <cell r="C36" t="str">
            <v>TEC.SEG.TRAB.II</v>
          </cell>
          <cell r="E36">
            <v>4079.4641666666666</v>
          </cell>
          <cell r="F36">
            <v>4169.1518532467289</v>
          </cell>
          <cell r="G36">
            <v>50029.822238960747</v>
          </cell>
          <cell r="L36">
            <v>4169.1518532467289</v>
          </cell>
          <cell r="M36">
            <v>1389.7172844155762</v>
          </cell>
          <cell r="N36">
            <v>16120.720499220686</v>
          </cell>
          <cell r="O36">
            <v>4447.0953101298446</v>
          </cell>
          <cell r="P36">
            <v>750.44733358441113</v>
          </cell>
          <cell r="Q36">
            <v>10005.96444779215</v>
          </cell>
          <cell r="R36">
            <v>0</v>
          </cell>
          <cell r="S36">
            <v>36883.096728389399</v>
          </cell>
          <cell r="T36">
            <v>86912.918967350153</v>
          </cell>
          <cell r="U36">
            <v>7242.7432472791797</v>
          </cell>
          <cell r="V36">
            <v>50.384300850637771</v>
          </cell>
        </row>
        <row r="37">
          <cell r="C37" t="str">
            <v>TEC.OPERAC. II</v>
          </cell>
          <cell r="E37">
            <v>4041.8477845528464</v>
          </cell>
          <cell r="F37">
            <v>4130.7084688229324</v>
          </cell>
          <cell r="G37">
            <v>49568.501625875186</v>
          </cell>
          <cell r="I37">
            <v>498</v>
          </cell>
          <cell r="L37">
            <v>4172.2084688229315</v>
          </cell>
          <cell r="M37">
            <v>1390.7361562743106</v>
          </cell>
          <cell r="N37">
            <v>16132.539412782002</v>
          </cell>
          <cell r="O37">
            <v>4450.3557000777937</v>
          </cell>
          <cell r="P37">
            <v>743.52752438812774</v>
          </cell>
          <cell r="Q37">
            <v>9913.7003251750375</v>
          </cell>
          <cell r="R37">
            <v>0</v>
          </cell>
          <cell r="S37">
            <v>37301.0675875202</v>
          </cell>
          <cell r="T37">
            <v>86869.569213395385</v>
          </cell>
          <cell r="U37">
            <v>7239.1307677829491</v>
          </cell>
          <cell r="V37">
            <v>50.359170558490078</v>
          </cell>
        </row>
        <row r="38">
          <cell r="C38" t="str">
            <v>CONS.DE ADMINIS.</v>
          </cell>
          <cell r="E38">
            <v>3945.6339393939397</v>
          </cell>
          <cell r="F38">
            <v>4032.3793465499907</v>
          </cell>
          <cell r="G38">
            <v>48388.552158599887</v>
          </cell>
          <cell r="L38">
            <v>4032.3793465499903</v>
          </cell>
          <cell r="M38">
            <v>1344.1264488499967</v>
          </cell>
          <cell r="N38">
            <v>15591.866806659962</v>
          </cell>
          <cell r="O38">
            <v>4301.2046363199897</v>
          </cell>
          <cell r="P38">
            <v>725.82828237899832</v>
          </cell>
          <cell r="Q38">
            <v>9677.7104317199774</v>
          </cell>
          <cell r="R38">
            <v>0</v>
          </cell>
          <cell r="S38">
            <v>35673.115952478918</v>
          </cell>
          <cell r="T38">
            <v>84061.668111078805</v>
          </cell>
          <cell r="U38">
            <v>7005.1390092565671</v>
          </cell>
          <cell r="V38">
            <v>48.731401803523944</v>
          </cell>
        </row>
        <row r="39">
          <cell r="C39" t="str">
            <v>AG.OPERAC. A-V</v>
          </cell>
          <cell r="E39">
            <v>3888.8558399999997</v>
          </cell>
          <cell r="F39">
            <v>3974.352971359277</v>
          </cell>
          <cell r="G39">
            <v>47692.235656311328</v>
          </cell>
          <cell r="L39">
            <v>3974.352971359277</v>
          </cell>
          <cell r="M39">
            <v>1324.7843237864256</v>
          </cell>
          <cell r="N39">
            <v>15367.49815592254</v>
          </cell>
          <cell r="O39">
            <v>4239.309836116563</v>
          </cell>
          <cell r="P39">
            <v>715.38353484466984</v>
          </cell>
          <cell r="Q39">
            <v>9538.4471312622663</v>
          </cell>
          <cell r="R39">
            <v>0</v>
          </cell>
          <cell r="S39">
            <v>35159.775953291741</v>
          </cell>
          <cell r="T39">
            <v>82852.011609603069</v>
          </cell>
          <cell r="U39">
            <v>6904.3343008002557</v>
          </cell>
          <cell r="V39">
            <v>48.030151657740909</v>
          </cell>
        </row>
        <row r="40">
          <cell r="C40" t="str">
            <v>AG.SUPORTE B-II</v>
          </cell>
          <cell r="E40">
            <v>3784.5720274914079</v>
          </cell>
          <cell r="F40">
            <v>3867.7764621852584</v>
          </cell>
          <cell r="G40">
            <v>46413.317546223101</v>
          </cell>
          <cell r="L40">
            <v>3867.7764621852584</v>
          </cell>
          <cell r="M40">
            <v>1289.2588207284193</v>
          </cell>
          <cell r="N40">
            <v>14955.402320449664</v>
          </cell>
          <cell r="O40">
            <v>4125.6282263309422</v>
          </cell>
          <cell r="P40">
            <v>696.19976319334648</v>
          </cell>
          <cell r="Q40">
            <v>9282.6635092446213</v>
          </cell>
          <cell r="R40">
            <v>0</v>
          </cell>
          <cell r="S40">
            <v>34216.929102132257</v>
          </cell>
          <cell r="T40">
            <v>80630.246648355358</v>
          </cell>
          <cell r="U40">
            <v>6719.1872206962798</v>
          </cell>
          <cell r="V40">
            <v>46.742171970061079</v>
          </cell>
        </row>
        <row r="41">
          <cell r="C41" t="str">
            <v>AN.SUPORTE B-I</v>
          </cell>
          <cell r="E41">
            <v>3693.3237499999996</v>
          </cell>
          <cell r="F41">
            <v>3774.5220763967141</v>
          </cell>
          <cell r="G41">
            <v>45294.26491676057</v>
          </cell>
          <cell r="L41">
            <v>3774.5220763967141</v>
          </cell>
          <cell r="M41">
            <v>1258.1740254655713</v>
          </cell>
          <cell r="N41">
            <v>14594.818695400629</v>
          </cell>
          <cell r="O41">
            <v>4026.1568814898287</v>
          </cell>
          <cell r="P41">
            <v>679.41397375140855</v>
          </cell>
          <cell r="Q41">
            <v>9058.8529833521152</v>
          </cell>
          <cell r="R41">
            <v>0</v>
          </cell>
          <cell r="S41">
            <v>33391.938635856262</v>
          </cell>
          <cell r="T41">
            <v>78686.203552616833</v>
          </cell>
          <cell r="U41">
            <v>6557.1836293847364</v>
          </cell>
          <cell r="V41">
            <v>45.615190465285117</v>
          </cell>
        </row>
        <row r="42">
          <cell r="C42" t="str">
            <v>AG.OPERAC. A-IV</v>
          </cell>
          <cell r="E42">
            <v>3334.8827245862867</v>
          </cell>
          <cell r="F42">
            <v>3408.2006664444089</v>
          </cell>
          <cell r="G42">
            <v>40898.407997332906</v>
          </cell>
          <cell r="L42">
            <v>3408.2006664444089</v>
          </cell>
          <cell r="M42">
            <v>1136.066888814803</v>
          </cell>
          <cell r="N42">
            <v>13178.375910251714</v>
          </cell>
          <cell r="O42">
            <v>3635.4140442073694</v>
          </cell>
          <cell r="P42">
            <v>613.47611995999353</v>
          </cell>
          <cell r="Q42">
            <v>8179.6815994665812</v>
          </cell>
          <cell r="R42">
            <v>0</v>
          </cell>
          <cell r="S42">
            <v>30151.215229144869</v>
          </cell>
          <cell r="T42">
            <v>71049.623226477779</v>
          </cell>
          <cell r="U42">
            <v>5920.8019355398146</v>
          </cell>
          <cell r="V42">
            <v>41.188187377668278</v>
          </cell>
        </row>
        <row r="43">
          <cell r="C43" t="str">
            <v>AG.OPERAC. B-II</v>
          </cell>
          <cell r="D43" t="str">
            <v>O1e2</v>
          </cell>
          <cell r="E43">
            <v>3239.4658830845806</v>
          </cell>
          <cell r="F43">
            <v>3310.686070084359</v>
          </cell>
          <cell r="G43">
            <v>39728.232841012308</v>
          </cell>
          <cell r="H43">
            <v>0</v>
          </cell>
          <cell r="I43">
            <v>1992</v>
          </cell>
          <cell r="L43">
            <v>3476.686070084359</v>
          </cell>
          <cell r="M43">
            <v>1158.8953566947862</v>
          </cell>
          <cell r="N43">
            <v>13443.186137659523</v>
          </cell>
          <cell r="O43">
            <v>3708.4651414233167</v>
          </cell>
          <cell r="P43">
            <v>595.92349261518461</v>
          </cell>
          <cell r="Q43">
            <v>7945.6465682024618</v>
          </cell>
          <cell r="R43">
            <v>0</v>
          </cell>
          <cell r="S43">
            <v>32320.80276667963</v>
          </cell>
          <cell r="T43">
            <v>72049.035607691942</v>
          </cell>
          <cell r="U43">
            <v>6004.0863006409954</v>
          </cell>
          <cell r="V43">
            <v>41.767556874024315</v>
          </cell>
        </row>
        <row r="44">
          <cell r="C44" t="str">
            <v>EMPR EM COMISSAO</v>
          </cell>
          <cell r="E44">
            <v>2993.9708333333333</v>
          </cell>
          <cell r="F44">
            <v>3059.7937715329003</v>
          </cell>
          <cell r="G44">
            <v>36717.525258394802</v>
          </cell>
          <cell r="L44">
            <v>3059.7937715328999</v>
          </cell>
          <cell r="M44">
            <v>1019.9312571776334</v>
          </cell>
          <cell r="N44">
            <v>11831.202583260547</v>
          </cell>
          <cell r="O44">
            <v>3263.7800229684271</v>
          </cell>
          <cell r="P44">
            <v>550.76287887592207</v>
          </cell>
          <cell r="Q44">
            <v>7343.5050516789606</v>
          </cell>
          <cell r="R44">
            <v>0</v>
          </cell>
          <cell r="S44">
            <v>27068.975565494387</v>
          </cell>
          <cell r="T44">
            <v>63786.50082388919</v>
          </cell>
          <cell r="U44">
            <v>5315.5417353240991</v>
          </cell>
          <cell r="V44">
            <v>36.977681637037215</v>
          </cell>
        </row>
        <row r="45">
          <cell r="C45" t="str">
            <v>VIGIA</v>
          </cell>
          <cell r="E45">
            <v>2877.467916666667</v>
          </cell>
          <cell r="F45">
            <v>2940.7295191984172</v>
          </cell>
          <cell r="G45">
            <v>35288.754230381004</v>
          </cell>
          <cell r="L45">
            <v>2940.7295191984167</v>
          </cell>
          <cell r="M45">
            <v>980.24317306613898</v>
          </cell>
          <cell r="N45">
            <v>11370.820807567212</v>
          </cell>
          <cell r="O45">
            <v>3136.7781538116451</v>
          </cell>
          <cell r="P45">
            <v>529.33131345571508</v>
          </cell>
          <cell r="Q45">
            <v>7057.750846076201</v>
          </cell>
          <cell r="R45">
            <v>0</v>
          </cell>
          <cell r="S45">
            <v>26015.653813175326</v>
          </cell>
          <cell r="T45">
            <v>61304.40804355633</v>
          </cell>
          <cell r="U45">
            <v>5108.7006702963608</v>
          </cell>
          <cell r="V45">
            <v>35.538787271626859</v>
          </cell>
        </row>
        <row r="46">
          <cell r="C46" t="str">
            <v>TEC.OPERAC. I</v>
          </cell>
          <cell r="D46" t="str">
            <v>O3</v>
          </cell>
          <cell r="E46">
            <v>2851.9438677536236</v>
          </cell>
          <cell r="F46">
            <v>2914.6443198975676</v>
          </cell>
          <cell r="G46">
            <v>34975.731838770807</v>
          </cell>
          <cell r="H46">
            <v>0</v>
          </cell>
          <cell r="I46">
            <v>1992</v>
          </cell>
          <cell r="L46">
            <v>3080.6443198975671</v>
          </cell>
          <cell r="M46">
            <v>1026.8814399658556</v>
          </cell>
          <cell r="N46">
            <v>11911.824703603927</v>
          </cell>
          <cell r="O46">
            <v>3286.020607890739</v>
          </cell>
          <cell r="P46">
            <v>524.63597758156209</v>
          </cell>
          <cell r="Q46">
            <v>6995.1463677541615</v>
          </cell>
          <cell r="R46">
            <v>0</v>
          </cell>
          <cell r="S46">
            <v>28817.153416693811</v>
          </cell>
          <cell r="T46">
            <v>63792.885255464615</v>
          </cell>
          <cell r="U46">
            <v>5316.0737712887176</v>
          </cell>
          <cell r="V46">
            <v>36.981382756791078</v>
          </cell>
        </row>
        <row r="47">
          <cell r="C47" t="str">
            <v>AG.OPERAC. A-III</v>
          </cell>
          <cell r="D47" t="str">
            <v>O4</v>
          </cell>
          <cell r="E47">
            <v>2811.5910944206007</v>
          </cell>
          <cell r="F47">
            <v>2873.404384246292</v>
          </cell>
          <cell r="G47">
            <v>34480.852610955502</v>
          </cell>
          <cell r="H47">
            <v>0</v>
          </cell>
          <cell r="I47">
            <v>996</v>
          </cell>
          <cell r="L47">
            <v>2956.4043842462916</v>
          </cell>
          <cell r="M47">
            <v>985.46812808209722</v>
          </cell>
          <cell r="N47">
            <v>11431.430285752327</v>
          </cell>
          <cell r="O47">
            <v>3153.4980098627111</v>
          </cell>
          <cell r="P47">
            <v>517.21278916433255</v>
          </cell>
          <cell r="Q47">
            <v>6896.1705221911006</v>
          </cell>
          <cell r="R47">
            <v>0</v>
          </cell>
          <cell r="S47">
            <v>26936.184119298861</v>
          </cell>
          <cell r="T47">
            <v>61417.03673025436</v>
          </cell>
          <cell r="U47">
            <v>5118.0863941878633</v>
          </cell>
          <cell r="V47">
            <v>35.604079263915573</v>
          </cell>
        </row>
        <row r="48">
          <cell r="C48" t="str">
            <v>TEC.SEG.TRAB.I</v>
          </cell>
          <cell r="E48">
            <v>2681.06</v>
          </cell>
          <cell r="F48">
            <v>2740.0035423767481</v>
          </cell>
          <cell r="G48">
            <v>32880.042508520979</v>
          </cell>
          <cell r="L48">
            <v>2740.0035423767481</v>
          </cell>
          <cell r="M48">
            <v>913.3345141255827</v>
          </cell>
          <cell r="N48">
            <v>10594.68036385676</v>
          </cell>
          <cell r="O48">
            <v>2922.6704452018648</v>
          </cell>
          <cell r="P48">
            <v>493.20063762781467</v>
          </cell>
          <cell r="Q48">
            <v>6576.0085017041965</v>
          </cell>
          <cell r="R48">
            <v>0</v>
          </cell>
          <cell r="S48">
            <v>24239.898004892966</v>
          </cell>
          <cell r="T48">
            <v>57119.940513413945</v>
          </cell>
          <cell r="U48">
            <v>4759.9950427844951</v>
          </cell>
          <cell r="V48">
            <v>33.113008993283444</v>
          </cell>
        </row>
        <row r="49">
          <cell r="C49" t="str">
            <v>TEC.CONTAB. I</v>
          </cell>
          <cell r="E49">
            <v>2601.4783333333335</v>
          </cell>
          <cell r="F49">
            <v>2658.6722597590851</v>
          </cell>
          <cell r="G49">
            <v>31904.067117109022</v>
          </cell>
          <cell r="L49">
            <v>2658.6722597590851</v>
          </cell>
          <cell r="M49">
            <v>886.22408658636164</v>
          </cell>
          <cell r="N49">
            <v>10280.199404401796</v>
          </cell>
          <cell r="O49">
            <v>2835.9170770763576</v>
          </cell>
          <cell r="P49">
            <v>478.56100675663532</v>
          </cell>
          <cell r="Q49">
            <v>6380.8134234218051</v>
          </cell>
          <cell r="R49">
            <v>0</v>
          </cell>
          <cell r="S49">
            <v>23520.38725800204</v>
          </cell>
          <cell r="T49">
            <v>55424.454375111061</v>
          </cell>
          <cell r="U49">
            <v>4618.7045312592554</v>
          </cell>
          <cell r="V49">
            <v>32.130118478325251</v>
          </cell>
        </row>
        <row r="50">
          <cell r="C50" t="str">
            <v>AG.SUPORTE A-I</v>
          </cell>
          <cell r="E50">
            <v>2432.5096639784947</v>
          </cell>
          <cell r="F50">
            <v>2485.9887865869277</v>
          </cell>
          <cell r="G50">
            <v>29831.865439043133</v>
          </cell>
          <cell r="L50">
            <v>2485.9887865869277</v>
          </cell>
          <cell r="M50">
            <v>828.66292886230917</v>
          </cell>
          <cell r="N50">
            <v>9612.4899748027874</v>
          </cell>
          <cell r="O50">
            <v>2651.72137235939</v>
          </cell>
          <cell r="P50">
            <v>447.477981585647</v>
          </cell>
          <cell r="Q50">
            <v>5966.3730878086271</v>
          </cell>
          <cell r="R50">
            <v>0</v>
          </cell>
          <cell r="S50">
            <v>21992.714132005691</v>
          </cell>
          <cell r="T50">
            <v>51824.579571048824</v>
          </cell>
          <cell r="U50">
            <v>4318.7149642540689</v>
          </cell>
          <cell r="V50">
            <v>30.043234533941348</v>
          </cell>
        </row>
        <row r="51">
          <cell r="C51" t="str">
            <v>AG.OPERAC. A-II</v>
          </cell>
          <cell r="E51">
            <v>1996.8821264367816</v>
          </cell>
          <cell r="F51">
            <v>2040.7839064196978</v>
          </cell>
          <cell r="G51">
            <v>24489.406877036374</v>
          </cell>
          <cell r="L51">
            <v>2040.7839064196978</v>
          </cell>
          <cell r="M51">
            <v>680.26130213989927</v>
          </cell>
          <cell r="N51">
            <v>7891.0311048228314</v>
          </cell>
          <cell r="O51">
            <v>2176.8361668476778</v>
          </cell>
          <cell r="P51">
            <v>367.34110315554557</v>
          </cell>
          <cell r="Q51">
            <v>4897.8813754072753</v>
          </cell>
          <cell r="R51">
            <v>0</v>
          </cell>
          <cell r="S51">
            <v>18054.134958792929</v>
          </cell>
          <cell r="T51">
            <v>42543.541835829303</v>
          </cell>
          <cell r="U51">
            <v>3545.2951529857751</v>
          </cell>
          <cell r="V51">
            <v>24.662922803379306</v>
          </cell>
        </row>
        <row r="52">
          <cell r="C52" t="str">
            <v>AG.OPERAC. A-II E</v>
          </cell>
          <cell r="E52">
            <v>1996.8821264367816</v>
          </cell>
          <cell r="F52">
            <v>2040.7839064196978</v>
          </cell>
          <cell r="G52">
            <v>24489.406877036374</v>
          </cell>
          <cell r="L52">
            <v>2040.7839064196978</v>
          </cell>
          <cell r="M52">
            <v>680.26130213989927</v>
          </cell>
          <cell r="N52">
            <v>7891.0311048228314</v>
          </cell>
          <cell r="O52">
            <v>2176.8361668476778</v>
          </cell>
          <cell r="P52">
            <v>367.34110315554557</v>
          </cell>
          <cell r="Q52">
            <v>4897.8813754072753</v>
          </cell>
          <cell r="R52">
            <v>0</v>
          </cell>
          <cell r="S52">
            <v>18054.134958792929</v>
          </cell>
          <cell r="T52">
            <v>42543.541835829303</v>
          </cell>
          <cell r="U52">
            <v>3545.2951529857751</v>
          </cell>
          <cell r="V52">
            <v>24.662922803379306</v>
          </cell>
        </row>
        <row r="53">
          <cell r="C53" t="str">
            <v>AG.OPERAC. A-II A</v>
          </cell>
          <cell r="E53">
            <v>1996.8821264367816</v>
          </cell>
          <cell r="F53">
            <v>2040.7839064196978</v>
          </cell>
          <cell r="G53">
            <v>24489.406877036374</v>
          </cell>
          <cell r="L53">
            <v>2040.7839064196978</v>
          </cell>
          <cell r="M53">
            <v>680.26130213989927</v>
          </cell>
          <cell r="N53">
            <v>7891.0311048228314</v>
          </cell>
          <cell r="O53">
            <v>2176.8361668476778</v>
          </cell>
          <cell r="P53">
            <v>367.34110315554557</v>
          </cell>
          <cell r="Q53">
            <v>4897.8813754072753</v>
          </cell>
          <cell r="R53">
            <v>0</v>
          </cell>
          <cell r="S53">
            <v>18054.134958792929</v>
          </cell>
          <cell r="T53">
            <v>42543.541835829303</v>
          </cell>
          <cell r="U53">
            <v>3545.2951529857751</v>
          </cell>
          <cell r="V53">
            <v>24.662922803379306</v>
          </cell>
        </row>
        <row r="54">
          <cell r="C54" t="str">
            <v>AG.OPERAC. B-I</v>
          </cell>
          <cell r="E54">
            <v>1911.4824629629629</v>
          </cell>
          <cell r="F54">
            <v>1953.5067173840009</v>
          </cell>
          <cell r="G54">
            <v>23442.080608608012</v>
          </cell>
          <cell r="L54">
            <v>1953.5067173840009</v>
          </cell>
          <cell r="M54">
            <v>651.16890579466701</v>
          </cell>
          <cell r="N54">
            <v>7553.5593072181364</v>
          </cell>
          <cell r="O54">
            <v>2083.7404985429343</v>
          </cell>
          <cell r="P54">
            <v>351.63120912912018</v>
          </cell>
          <cell r="Q54">
            <v>4688.4161217216024</v>
          </cell>
          <cell r="R54">
            <v>0</v>
          </cell>
          <cell r="S54">
            <v>17282.02275979046</v>
          </cell>
          <cell r="T54">
            <v>40724.103368398472</v>
          </cell>
          <cell r="U54">
            <v>3393.6752806998725</v>
          </cell>
          <cell r="V54">
            <v>23.608175865738243</v>
          </cell>
        </row>
        <row r="55">
          <cell r="C55" t="str">
            <v>AG.SUPORTE B-I</v>
          </cell>
          <cell r="E55">
            <v>1590.1994937694701</v>
          </cell>
          <cell r="F55">
            <v>1625.1602895921985</v>
          </cell>
          <cell r="G55">
            <v>19501.923475106381</v>
          </cell>
          <cell r="L55">
            <v>1625.1602895921983</v>
          </cell>
          <cell r="M55">
            <v>541.7200965307328</v>
          </cell>
          <cell r="N55">
            <v>6283.9531197564993</v>
          </cell>
          <cell r="O55">
            <v>1733.5043088983448</v>
          </cell>
          <cell r="P55">
            <v>292.52885212659572</v>
          </cell>
          <cell r="Q55">
            <v>3900.3846950212765</v>
          </cell>
          <cell r="R55">
            <v>0</v>
          </cell>
          <cell r="S55">
            <v>14377.25136192565</v>
          </cell>
          <cell r="T55">
            <v>33879.174837032027</v>
          </cell>
          <cell r="U55">
            <v>2823.2645697526691</v>
          </cell>
          <cell r="V55">
            <v>19.640101354801175</v>
          </cell>
        </row>
        <row r="56">
          <cell r="C56" t="str">
            <v>AG.OPERAC. A-I</v>
          </cell>
          <cell r="D56" t="str">
            <v>O5</v>
          </cell>
          <cell r="E56">
            <v>1409.3978961748628</v>
          </cell>
          <cell r="F56">
            <v>1440.3837393185756</v>
          </cell>
          <cell r="G56">
            <v>17284.604871822907</v>
          </cell>
          <cell r="H56">
            <v>0</v>
          </cell>
          <cell r="I56">
            <v>1992</v>
          </cell>
          <cell r="L56">
            <v>1606.3837393185754</v>
          </cell>
          <cell r="M56">
            <v>535.46124643952521</v>
          </cell>
          <cell r="N56">
            <v>6211.3504586984918</v>
          </cell>
          <cell r="O56">
            <v>1713.4759886064805</v>
          </cell>
          <cell r="P56">
            <v>259.26907307734359</v>
          </cell>
          <cell r="Q56">
            <v>3456.9209743645815</v>
          </cell>
          <cell r="R56">
            <v>0</v>
          </cell>
          <cell r="S56">
            <v>15774.861480504998</v>
          </cell>
          <cell r="T56">
            <v>33059.466352327901</v>
          </cell>
          <cell r="U56">
            <v>2754.9555293606586</v>
          </cell>
          <cell r="V56">
            <v>19.164908030335017</v>
          </cell>
        </row>
        <row r="57"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</sheetData>
      <sheetData sheetId="3">
        <row r="11">
          <cell r="B11" t="str">
            <v>EQ1</v>
          </cell>
          <cell r="C11" t="str">
            <v>Quantidade</v>
          </cell>
          <cell r="F11">
            <v>1</v>
          </cell>
          <cell r="K11">
            <v>36.981382756791078</v>
          </cell>
          <cell r="L11">
            <v>0.08</v>
          </cell>
          <cell r="M11">
            <v>2.9585106205432861</v>
          </cell>
          <cell r="N11">
            <v>39.939893377334364</v>
          </cell>
          <cell r="P11">
            <v>1</v>
          </cell>
          <cell r="AD11">
            <v>4.5877525252525251</v>
          </cell>
          <cell r="AT11">
            <v>0</v>
          </cell>
          <cell r="AV11">
            <v>44.52764590258689</v>
          </cell>
        </row>
        <row r="12">
          <cell r="C12" t="str">
            <v>Custo Total (R$/Hora)</v>
          </cell>
          <cell r="D12"/>
          <cell r="E12"/>
          <cell r="F12">
            <v>36.981382756791078</v>
          </cell>
          <cell r="G12"/>
          <cell r="H12"/>
          <cell r="I12"/>
          <cell r="J12"/>
          <cell r="O12"/>
          <cell r="P12">
            <v>4.5877525252525251</v>
          </cell>
          <cell r="Q12"/>
          <cell r="R12"/>
          <cell r="S12"/>
          <cell r="T12"/>
          <cell r="U12"/>
          <cell r="V12"/>
          <cell r="W12"/>
          <cell r="X12"/>
          <cell r="Y12"/>
          <cell r="AB12"/>
          <cell r="AC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</row>
        <row r="13">
          <cell r="B13" t="str">
            <v>EQ2</v>
          </cell>
          <cell r="C13" t="str">
            <v>Quantidade</v>
          </cell>
          <cell r="G13">
            <v>1</v>
          </cell>
          <cell r="K13">
            <v>35.604079263915573</v>
          </cell>
          <cell r="L13">
            <v>0.08</v>
          </cell>
          <cell r="M13">
            <v>2.8483263411132458</v>
          </cell>
          <cell r="N13">
            <v>38.452405605028815</v>
          </cell>
          <cell r="P13">
            <v>1</v>
          </cell>
          <cell r="AD13">
            <v>4.5877525252525251</v>
          </cell>
          <cell r="AT13">
            <v>0</v>
          </cell>
          <cell r="AV13">
            <v>43.040158130281341</v>
          </cell>
        </row>
        <row r="14">
          <cell r="C14" t="str">
            <v>Custo Total (R$/Hora)</v>
          </cell>
          <cell r="D14"/>
          <cell r="E14"/>
          <cell r="F14"/>
          <cell r="G14">
            <v>35.604079263915573</v>
          </cell>
          <cell r="H14"/>
          <cell r="I14"/>
          <cell r="J14"/>
          <cell r="O14"/>
          <cell r="P14">
            <v>4.5877525252525251</v>
          </cell>
          <cell r="Q14"/>
          <cell r="R14"/>
          <cell r="S14"/>
          <cell r="T14"/>
          <cell r="U14"/>
          <cell r="V14"/>
          <cell r="W14"/>
          <cell r="X14"/>
          <cell r="Y14"/>
          <cell r="AB14"/>
          <cell r="AC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</row>
        <row r="15">
          <cell r="B15" t="str">
            <v>EQ2_T</v>
          </cell>
          <cell r="C15" t="str">
            <v>Quantidade</v>
          </cell>
          <cell r="G15">
            <v>1</v>
          </cell>
          <cell r="K15">
            <v>44.505099079894464</v>
          </cell>
          <cell r="L15">
            <v>0.08</v>
          </cell>
          <cell r="M15">
            <v>3.5604079263915573</v>
          </cell>
          <cell r="N15">
            <v>48.065507006286019</v>
          </cell>
          <cell r="P15">
            <v>1</v>
          </cell>
          <cell r="AD15">
            <v>4.5877525252525251</v>
          </cell>
          <cell r="AT15">
            <v>0</v>
          </cell>
          <cell r="AV15">
            <v>52.653259531538545</v>
          </cell>
        </row>
        <row r="16">
          <cell r="C16" t="str">
            <v>Custo Total (R$/Hora)</v>
          </cell>
          <cell r="D16"/>
          <cell r="E16"/>
          <cell r="F16"/>
          <cell r="G16">
            <v>44.505099079894464</v>
          </cell>
          <cell r="H16"/>
          <cell r="I16"/>
          <cell r="J16"/>
          <cell r="O16"/>
          <cell r="P16">
            <v>4.5877525252525251</v>
          </cell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</row>
        <row r="17">
          <cell r="B17" t="str">
            <v>EQ3</v>
          </cell>
          <cell r="C17" t="str">
            <v>Quantidade</v>
          </cell>
          <cell r="F17">
            <v>2</v>
          </cell>
          <cell r="H17">
            <v>1</v>
          </cell>
          <cell r="K17">
            <v>93.127673543917169</v>
          </cell>
          <cell r="L17">
            <v>0.08</v>
          </cell>
          <cell r="M17">
            <v>7.4502138835133733</v>
          </cell>
          <cell r="N17">
            <v>100.57788742743054</v>
          </cell>
          <cell r="Q17">
            <v>1</v>
          </cell>
          <cell r="AD17">
            <v>5.955303030303031</v>
          </cell>
          <cell r="AT17">
            <v>0</v>
          </cell>
          <cell r="AV17">
            <v>106.53319045773357</v>
          </cell>
        </row>
        <row r="18">
          <cell r="C18" t="str">
            <v>Custo Total (R$/Hora)</v>
          </cell>
          <cell r="D18"/>
          <cell r="E18"/>
          <cell r="F18">
            <v>73.962765513582156</v>
          </cell>
          <cell r="G18"/>
          <cell r="H18">
            <v>19.164908030335017</v>
          </cell>
          <cell r="I18"/>
          <cell r="J18"/>
          <cell r="O18"/>
          <cell r="P18"/>
          <cell r="Q18">
            <v>5.955303030303031</v>
          </cell>
          <cell r="R18"/>
          <cell r="S18"/>
          <cell r="T18"/>
          <cell r="U18"/>
          <cell r="V18"/>
          <cell r="W18"/>
          <cell r="X18"/>
          <cell r="Y18"/>
          <cell r="AB18"/>
          <cell r="AC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</row>
        <row r="19">
          <cell r="B19" t="str">
            <v>EQ3_T</v>
          </cell>
          <cell r="C19" t="str">
            <v>Quantidade</v>
          </cell>
          <cell r="F19">
            <v>2</v>
          </cell>
          <cell r="H19">
            <v>1</v>
          </cell>
          <cell r="K19">
            <v>116.40959192989648</v>
          </cell>
          <cell r="L19">
            <v>0.08</v>
          </cell>
          <cell r="M19">
            <v>9.3127673543917187</v>
          </cell>
          <cell r="N19">
            <v>125.7223592842882</v>
          </cell>
          <cell r="Q19">
            <v>1</v>
          </cell>
          <cell r="AD19">
            <v>5.955303030303031</v>
          </cell>
          <cell r="AT19">
            <v>0</v>
          </cell>
          <cell r="AV19">
            <v>131.67766231459123</v>
          </cell>
        </row>
        <row r="20">
          <cell r="C20" t="str">
            <v>Custo Total (R$/Hora)</v>
          </cell>
          <cell r="D20"/>
          <cell r="E20"/>
          <cell r="F20">
            <v>92.453456891977709</v>
          </cell>
          <cell r="G20"/>
          <cell r="H20">
            <v>23.95613503791877</v>
          </cell>
          <cell r="I20"/>
          <cell r="J20"/>
          <cell r="O20"/>
          <cell r="P20"/>
          <cell r="Q20">
            <v>5.955303030303031</v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</row>
        <row r="21">
          <cell r="B21" t="str">
            <v>EQ4</v>
          </cell>
          <cell r="C21" t="str">
            <v>Quantidade</v>
          </cell>
          <cell r="G21">
            <v>2</v>
          </cell>
          <cell r="H21">
            <v>1</v>
          </cell>
          <cell r="K21">
            <v>90.373066558166158</v>
          </cell>
          <cell r="L21">
            <v>0.08</v>
          </cell>
          <cell r="M21">
            <v>7.2298453246532928</v>
          </cell>
          <cell r="N21">
            <v>97.602911882819456</v>
          </cell>
          <cell r="Q21">
            <v>1</v>
          </cell>
          <cell r="AD21">
            <v>5.955303030303031</v>
          </cell>
          <cell r="AT21">
            <v>0</v>
          </cell>
          <cell r="AV21">
            <v>103.55821491312248</v>
          </cell>
        </row>
        <row r="22">
          <cell r="C22" t="str">
            <v>Custo Total (R$/Hora)</v>
          </cell>
          <cell r="D22"/>
          <cell r="E22"/>
          <cell r="F22"/>
          <cell r="G22">
            <v>71.208158527831145</v>
          </cell>
          <cell r="H22">
            <v>19.164908030335017</v>
          </cell>
          <cell r="I22"/>
          <cell r="J22"/>
          <cell r="O22"/>
          <cell r="P22"/>
          <cell r="Q22">
            <v>5.955303030303031</v>
          </cell>
          <cell r="R22"/>
          <cell r="S22"/>
          <cell r="T22"/>
          <cell r="U22"/>
          <cell r="V22"/>
          <cell r="W22"/>
          <cell r="X22"/>
          <cell r="Y22"/>
          <cell r="AB22"/>
          <cell r="AC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</row>
        <row r="23">
          <cell r="B23" t="str">
            <v>EQ4_T</v>
          </cell>
          <cell r="C23" t="str">
            <v>Quantidade</v>
          </cell>
          <cell r="G23">
            <v>2</v>
          </cell>
          <cell r="H23">
            <v>1</v>
          </cell>
          <cell r="K23">
            <v>112.9663331977077</v>
          </cell>
          <cell r="L23">
            <v>0.08</v>
          </cell>
          <cell r="M23">
            <v>9.0373066558166162</v>
          </cell>
          <cell r="N23">
            <v>122.00363985352432</v>
          </cell>
          <cell r="Q23">
            <v>1</v>
          </cell>
          <cell r="AD23">
            <v>5.955303030303031</v>
          </cell>
          <cell r="AT23">
            <v>0</v>
          </cell>
          <cell r="AV23">
            <v>127.95894288382735</v>
          </cell>
        </row>
        <row r="24">
          <cell r="C24" t="str">
            <v>Custo Total (R$/Hora)</v>
          </cell>
          <cell r="D24"/>
          <cell r="E24"/>
          <cell r="F24"/>
          <cell r="G24">
            <v>89.010198159788928</v>
          </cell>
          <cell r="H24">
            <v>23.95613503791877</v>
          </cell>
          <cell r="I24"/>
          <cell r="J24"/>
          <cell r="O24"/>
          <cell r="P24"/>
          <cell r="Q24">
            <v>5.955303030303031</v>
          </cell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</row>
        <row r="25">
          <cell r="B25" t="str">
            <v>EQ5</v>
          </cell>
          <cell r="C25" t="str">
            <v>Quantidade</v>
          </cell>
          <cell r="F25">
            <v>3</v>
          </cell>
          <cell r="H25">
            <v>1</v>
          </cell>
          <cell r="K25">
            <v>130.10905630070826</v>
          </cell>
          <cell r="L25">
            <v>0.08</v>
          </cell>
          <cell r="M25">
            <v>10.408724504056661</v>
          </cell>
          <cell r="N25">
            <v>140.51778080476493</v>
          </cell>
          <cell r="R25">
            <v>1</v>
          </cell>
          <cell r="AD25">
            <v>6.7662878787878791</v>
          </cell>
          <cell r="AT25">
            <v>0</v>
          </cell>
          <cell r="AV25">
            <v>147.28406868355282</v>
          </cell>
        </row>
        <row r="26">
          <cell r="C26" t="str">
            <v>Custo Total (R$/Hora)</v>
          </cell>
          <cell r="D26"/>
          <cell r="E26"/>
          <cell r="F26">
            <v>110.94414827037323</v>
          </cell>
          <cell r="G26"/>
          <cell r="H26">
            <v>19.164908030335017</v>
          </cell>
          <cell r="I26"/>
          <cell r="J26"/>
          <cell r="O26"/>
          <cell r="P26"/>
          <cell r="Q26"/>
          <cell r="R26">
            <v>6.7662878787878791</v>
          </cell>
          <cell r="S26"/>
          <cell r="T26"/>
          <cell r="U26"/>
          <cell r="V26"/>
          <cell r="W26"/>
          <cell r="X26"/>
          <cell r="Y26"/>
          <cell r="AB26"/>
          <cell r="AC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</row>
        <row r="27">
          <cell r="B27" t="str">
            <v>EQ6</v>
          </cell>
          <cell r="C27" t="str">
            <v>Quantidade</v>
          </cell>
          <cell r="G27">
            <v>3</v>
          </cell>
          <cell r="H27">
            <v>1</v>
          </cell>
          <cell r="K27">
            <v>125.97714582208174</v>
          </cell>
          <cell r="L27">
            <v>0.08</v>
          </cell>
          <cell r="M27">
            <v>10.07817166576654</v>
          </cell>
          <cell r="N27">
            <v>136.05531748784827</v>
          </cell>
          <cell r="R27">
            <v>1</v>
          </cell>
          <cell r="AD27">
            <v>6.7662878787878791</v>
          </cell>
          <cell r="AT27">
            <v>0</v>
          </cell>
          <cell r="AV27">
            <v>142.82160536663616</v>
          </cell>
        </row>
        <row r="28">
          <cell r="C28" t="str">
            <v>Custo Total (R$/Hora)</v>
          </cell>
          <cell r="D28"/>
          <cell r="E28"/>
          <cell r="F28"/>
          <cell r="G28">
            <v>106.81223779174672</v>
          </cell>
          <cell r="H28">
            <v>19.164908030335017</v>
          </cell>
          <cell r="I28"/>
          <cell r="J28"/>
          <cell r="O28"/>
          <cell r="P28"/>
          <cell r="Q28"/>
          <cell r="R28">
            <v>6.7662878787878791</v>
          </cell>
          <cell r="S28"/>
          <cell r="T28"/>
          <cell r="U28"/>
          <cell r="V28"/>
          <cell r="W28"/>
          <cell r="X28"/>
          <cell r="Y28"/>
          <cell r="AB28"/>
          <cell r="AC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</row>
        <row r="29">
          <cell r="B29" t="str">
            <v>EQ7</v>
          </cell>
          <cell r="C29" t="str">
            <v>Quantidade</v>
          </cell>
          <cell r="D29">
            <v>1</v>
          </cell>
          <cell r="H29">
            <v>1</v>
          </cell>
          <cell r="K29">
            <v>60.932464904359335</v>
          </cell>
          <cell r="L29">
            <v>0.08</v>
          </cell>
          <cell r="M29">
            <v>4.8745971923487472</v>
          </cell>
          <cell r="N29">
            <v>65.80706209670808</v>
          </cell>
          <cell r="P29">
            <v>1</v>
          </cell>
          <cell r="AD29">
            <v>4.5877525252525251</v>
          </cell>
          <cell r="AF29">
            <v>1</v>
          </cell>
          <cell r="AT29">
            <v>2.6654589371980677</v>
          </cell>
          <cell r="AV29">
            <v>73.060273559158674</v>
          </cell>
        </row>
        <row r="30">
          <cell r="C30" t="str">
            <v>Custo Total (R$/Hora)</v>
          </cell>
          <cell r="D30">
            <v>41.767556874024315</v>
          </cell>
          <cell r="E30"/>
          <cell r="F30"/>
          <cell r="G30"/>
          <cell r="H30">
            <v>19.164908030335017</v>
          </cell>
          <cell r="I30"/>
          <cell r="J30"/>
          <cell r="O30"/>
          <cell r="P30">
            <v>4.5877525252525251</v>
          </cell>
          <cell r="Q30"/>
          <cell r="R30"/>
          <cell r="S30"/>
          <cell r="T30"/>
          <cell r="U30"/>
          <cell r="V30"/>
          <cell r="W30"/>
          <cell r="X30"/>
          <cell r="Y30"/>
          <cell r="AB30"/>
          <cell r="AC30"/>
          <cell r="AE30"/>
          <cell r="AF30">
            <v>2.6654589371980677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</row>
        <row r="31">
          <cell r="B31" t="str">
            <v>EQ7_T</v>
          </cell>
          <cell r="C31" t="str">
            <v>Quantidade</v>
          </cell>
          <cell r="D31">
            <v>1</v>
          </cell>
          <cell r="H31">
            <v>1</v>
          </cell>
          <cell r="K31">
            <v>76.165581130449169</v>
          </cell>
          <cell r="L31">
            <v>0.08</v>
          </cell>
          <cell r="M31">
            <v>6.0932464904359334</v>
          </cell>
          <cell r="N31">
            <v>82.2588276208851</v>
          </cell>
          <cell r="P31">
            <v>1</v>
          </cell>
          <cell r="AD31">
            <v>4.5877525252525251</v>
          </cell>
          <cell r="AF31">
            <v>1</v>
          </cell>
          <cell r="AT31">
            <v>2.6654589371980677</v>
          </cell>
          <cell r="AV31">
            <v>89.512039083335694</v>
          </cell>
        </row>
        <row r="32">
          <cell r="C32" t="str">
            <v>Custo Total (R$/Hora)</v>
          </cell>
          <cell r="D32">
            <v>52.209446092530392</v>
          </cell>
          <cell r="E32"/>
          <cell r="F32"/>
          <cell r="G32"/>
          <cell r="H32">
            <v>23.95613503791877</v>
          </cell>
          <cell r="I32"/>
          <cell r="J32"/>
          <cell r="O32"/>
          <cell r="P32">
            <v>4.5877525252525251</v>
          </cell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E32"/>
          <cell r="AF32">
            <v>2.6654589371980677</v>
          </cell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</row>
        <row r="33">
          <cell r="B33" t="str">
            <v>EQ8</v>
          </cell>
          <cell r="C33" t="str">
            <v>Quantidade</v>
          </cell>
          <cell r="E33">
            <v>1</v>
          </cell>
          <cell r="H33">
            <v>1</v>
          </cell>
          <cell r="K33">
            <v>60.932464904359335</v>
          </cell>
          <cell r="L33">
            <v>0.08</v>
          </cell>
          <cell r="M33">
            <v>4.8745971923487472</v>
          </cell>
          <cell r="N33">
            <v>65.80706209670808</v>
          </cell>
          <cell r="P33">
            <v>1</v>
          </cell>
          <cell r="AD33">
            <v>4.5877525252525251</v>
          </cell>
          <cell r="AF33">
            <v>1</v>
          </cell>
          <cell r="AT33">
            <v>2.6654589371980677</v>
          </cell>
          <cell r="AV33">
            <v>73.060273559158674</v>
          </cell>
        </row>
        <row r="34">
          <cell r="C34" t="str">
            <v>Custo Total (R$/Hora)</v>
          </cell>
          <cell r="D34"/>
          <cell r="E34">
            <v>41.767556874024315</v>
          </cell>
          <cell r="F34"/>
          <cell r="G34"/>
          <cell r="H34">
            <v>19.164908030335017</v>
          </cell>
          <cell r="I34"/>
          <cell r="J34"/>
          <cell r="O34"/>
          <cell r="P34">
            <v>4.5877525252525251</v>
          </cell>
          <cell r="Q34"/>
          <cell r="R34"/>
          <cell r="S34"/>
          <cell r="T34"/>
          <cell r="U34"/>
          <cell r="V34"/>
          <cell r="W34"/>
          <cell r="X34"/>
          <cell r="Y34"/>
          <cell r="AB34"/>
          <cell r="AC34"/>
          <cell r="AE34"/>
          <cell r="AF34">
            <v>2.6654589371980677</v>
          </cell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</row>
        <row r="35">
          <cell r="B35" t="str">
            <v>EQ8_T</v>
          </cell>
          <cell r="C35" t="str">
            <v>Quantidade</v>
          </cell>
          <cell r="E35">
            <v>1</v>
          </cell>
          <cell r="H35">
            <v>1</v>
          </cell>
          <cell r="K35">
            <v>76.165581130449169</v>
          </cell>
          <cell r="L35">
            <v>0.08</v>
          </cell>
          <cell r="M35">
            <v>6.0932464904359334</v>
          </cell>
          <cell r="N35">
            <v>82.2588276208851</v>
          </cell>
          <cell r="P35">
            <v>1</v>
          </cell>
          <cell r="AD35">
            <v>4.5877525252525251</v>
          </cell>
          <cell r="AF35">
            <v>1</v>
          </cell>
          <cell r="AT35">
            <v>2.6654589371980677</v>
          </cell>
          <cell r="AV35">
            <v>89.512039083335694</v>
          </cell>
        </row>
        <row r="36">
          <cell r="C36" t="str">
            <v>Custo Total (R$/Hora)</v>
          </cell>
          <cell r="D36"/>
          <cell r="E36">
            <v>52.209446092530392</v>
          </cell>
          <cell r="F36"/>
          <cell r="G36"/>
          <cell r="H36">
            <v>23.95613503791877</v>
          </cell>
          <cell r="I36"/>
          <cell r="J36"/>
          <cell r="O36"/>
          <cell r="P36">
            <v>4.5877525252525251</v>
          </cell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E36"/>
          <cell r="AF36">
            <v>2.6654589371980677</v>
          </cell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</row>
        <row r="37">
          <cell r="B37" t="str">
            <v>EQ9</v>
          </cell>
          <cell r="C37" t="str">
            <v>Quantidade</v>
          </cell>
          <cell r="D37">
            <v>1</v>
          </cell>
          <cell r="H37">
            <v>1</v>
          </cell>
          <cell r="K37">
            <v>60.932464904359335</v>
          </cell>
          <cell r="L37">
            <v>0.08</v>
          </cell>
          <cell r="M37">
            <v>4.8745971923487472</v>
          </cell>
          <cell r="N37">
            <v>65.80706209670808</v>
          </cell>
          <cell r="Q37">
            <v>1</v>
          </cell>
          <cell r="AD37">
            <v>5.955303030303031</v>
          </cell>
          <cell r="AT37">
            <v>0</v>
          </cell>
          <cell r="AV37">
            <v>71.762365127011108</v>
          </cell>
        </row>
        <row r="38">
          <cell r="C38" t="str">
            <v>Custo Total (R$/Hora)</v>
          </cell>
          <cell r="D38">
            <v>41.767556874024315</v>
          </cell>
          <cell r="E38"/>
          <cell r="F38"/>
          <cell r="G38"/>
          <cell r="H38">
            <v>19.164908030335017</v>
          </cell>
          <cell r="I38"/>
          <cell r="J38"/>
          <cell r="O38"/>
          <cell r="P38"/>
          <cell r="Q38">
            <v>5.955303030303031</v>
          </cell>
          <cell r="R38"/>
          <cell r="S38"/>
          <cell r="T38"/>
          <cell r="U38"/>
          <cell r="V38"/>
          <cell r="W38"/>
          <cell r="X38"/>
          <cell r="Y38"/>
          <cell r="AB38"/>
          <cell r="AC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</row>
        <row r="39">
          <cell r="B39" t="str">
            <v>EQ10</v>
          </cell>
          <cell r="C39" t="str">
            <v>Quantidade</v>
          </cell>
          <cell r="E39">
            <v>1</v>
          </cell>
          <cell r="H39">
            <v>1</v>
          </cell>
          <cell r="K39">
            <v>60.932464904359335</v>
          </cell>
          <cell r="L39">
            <v>0.08</v>
          </cell>
          <cell r="M39">
            <v>4.8745971923487472</v>
          </cell>
          <cell r="N39">
            <v>65.80706209670808</v>
          </cell>
          <cell r="Q39">
            <v>1</v>
          </cell>
          <cell r="AD39">
            <v>5.955303030303031</v>
          </cell>
          <cell r="AT39">
            <v>0</v>
          </cell>
          <cell r="AV39">
            <v>71.762365127011108</v>
          </cell>
        </row>
        <row r="40">
          <cell r="C40" t="str">
            <v>Custo Total (R$/Hora)</v>
          </cell>
          <cell r="D40"/>
          <cell r="E40">
            <v>41.767556874024315</v>
          </cell>
          <cell r="F40"/>
          <cell r="G40"/>
          <cell r="H40">
            <v>19.164908030335017</v>
          </cell>
          <cell r="I40"/>
          <cell r="J40"/>
          <cell r="O40"/>
          <cell r="P40"/>
          <cell r="Q40">
            <v>5.955303030303031</v>
          </cell>
          <cell r="R40"/>
          <cell r="S40"/>
          <cell r="T40"/>
          <cell r="U40"/>
          <cell r="V40"/>
          <cell r="W40"/>
          <cell r="X40"/>
          <cell r="Y40"/>
          <cell r="AB40"/>
          <cell r="AC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</row>
        <row r="41">
          <cell r="B41" t="str">
            <v>EQ11</v>
          </cell>
          <cell r="C41" t="str">
            <v>Quantidade</v>
          </cell>
          <cell r="D41">
            <v>1</v>
          </cell>
          <cell r="F41">
            <v>1</v>
          </cell>
          <cell r="H41">
            <v>1</v>
          </cell>
          <cell r="K41">
            <v>97.913847661150399</v>
          </cell>
          <cell r="L41">
            <v>0.08</v>
          </cell>
          <cell r="M41">
            <v>7.833107812892032</v>
          </cell>
          <cell r="N41">
            <v>105.74695547404244</v>
          </cell>
          <cell r="AD41">
            <v>0</v>
          </cell>
          <cell r="AT41">
            <v>0</v>
          </cell>
          <cell r="AV41">
            <v>105.74695547404244</v>
          </cell>
        </row>
        <row r="42">
          <cell r="C42" t="str">
            <v>Custo Total (R$/Hora)</v>
          </cell>
          <cell r="D42">
            <v>41.767556874024315</v>
          </cell>
          <cell r="E42"/>
          <cell r="F42">
            <v>36.981382756791078</v>
          </cell>
          <cell r="G42"/>
          <cell r="H42">
            <v>19.164908030335017</v>
          </cell>
          <cell r="I42"/>
          <cell r="J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AB42"/>
          <cell r="AC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</row>
        <row r="43">
          <cell r="B43" t="str">
            <v>EQ12</v>
          </cell>
          <cell r="C43" t="str">
            <v>Quantidade</v>
          </cell>
          <cell r="E43">
            <v>1</v>
          </cell>
          <cell r="G43">
            <v>1</v>
          </cell>
          <cell r="H43">
            <v>1</v>
          </cell>
          <cell r="K43">
            <v>96.536544168274901</v>
          </cell>
          <cell r="L43">
            <v>0.08</v>
          </cell>
          <cell r="M43">
            <v>7.7229235334619926</v>
          </cell>
          <cell r="N43">
            <v>104.2594677017369</v>
          </cell>
          <cell r="AD43">
            <v>0</v>
          </cell>
          <cell r="AT43">
            <v>0</v>
          </cell>
          <cell r="AV43">
            <v>104.2594677017369</v>
          </cell>
        </row>
        <row r="44">
          <cell r="C44" t="str">
            <v>Custo Total (R$/Hora)</v>
          </cell>
          <cell r="D44"/>
          <cell r="E44">
            <v>41.767556874024315</v>
          </cell>
          <cell r="F44"/>
          <cell r="G44">
            <v>35.604079263915573</v>
          </cell>
          <cell r="H44">
            <v>19.164908030335017</v>
          </cell>
          <cell r="I44"/>
          <cell r="J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AB44"/>
          <cell r="AC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</row>
        <row r="45">
          <cell r="B45" t="str">
            <v>EQ13</v>
          </cell>
          <cell r="C45" t="str">
            <v>Quantidade</v>
          </cell>
          <cell r="D45">
            <v>2</v>
          </cell>
          <cell r="F45">
            <v>4</v>
          </cell>
          <cell r="H45">
            <v>2</v>
          </cell>
          <cell r="K45">
            <v>269.79046083588298</v>
          </cell>
          <cell r="L45">
            <v>0.08</v>
          </cell>
          <cell r="M45">
            <v>21.583236866870639</v>
          </cell>
          <cell r="N45">
            <v>291.37369770275365</v>
          </cell>
          <cell r="P45">
            <v>2</v>
          </cell>
          <cell r="T45">
            <v>1</v>
          </cell>
          <cell r="AD45">
            <v>30.660353535353536</v>
          </cell>
          <cell r="AI45">
            <v>1</v>
          </cell>
          <cell r="AJ45">
            <v>1</v>
          </cell>
          <cell r="AK45">
            <v>1</v>
          </cell>
          <cell r="AN45">
            <v>1</v>
          </cell>
          <cell r="AO45">
            <v>1</v>
          </cell>
          <cell r="AT45">
            <v>106.31546442687747</v>
          </cell>
          <cell r="AV45">
            <v>428.34951566498466</v>
          </cell>
        </row>
        <row r="46">
          <cell r="C46" t="str">
            <v>Custo Total (R$/Hora)</v>
          </cell>
          <cell r="D46">
            <v>83.53511374804863</v>
          </cell>
          <cell r="E46"/>
          <cell r="F46">
            <v>147.92553102716431</v>
          </cell>
          <cell r="G46"/>
          <cell r="H46">
            <v>38.329816060670034</v>
          </cell>
          <cell r="I46"/>
          <cell r="J46"/>
          <cell r="O46"/>
          <cell r="P46">
            <v>9.1755050505050502</v>
          </cell>
          <cell r="Q46"/>
          <cell r="R46"/>
          <cell r="S46"/>
          <cell r="T46">
            <v>21.484848484848484</v>
          </cell>
          <cell r="U46"/>
          <cell r="V46"/>
          <cell r="W46"/>
          <cell r="X46"/>
          <cell r="Y46"/>
          <cell r="AB46"/>
          <cell r="AC46"/>
          <cell r="AE46"/>
          <cell r="AF46"/>
          <cell r="AG46"/>
          <cell r="AH46"/>
          <cell r="AI46">
            <v>51.491820377689947</v>
          </cell>
          <cell r="AJ46">
            <v>9.9954710144927539</v>
          </cell>
          <cell r="AK46">
            <v>19.990942028985508</v>
          </cell>
          <cell r="AL46"/>
          <cell r="AM46"/>
          <cell r="AN46">
            <v>18.779369784804569</v>
          </cell>
          <cell r="AO46">
            <v>6.0578612209046998</v>
          </cell>
          <cell r="AP46"/>
          <cell r="AQ46"/>
          <cell r="AR46"/>
          <cell r="AS46"/>
        </row>
        <row r="47">
          <cell r="B47" t="str">
            <v>EQ13_T</v>
          </cell>
          <cell r="C47" t="str">
            <v>Quantidade</v>
          </cell>
          <cell r="D47">
            <v>2</v>
          </cell>
          <cell r="F47">
            <v>4</v>
          </cell>
          <cell r="H47">
            <v>2</v>
          </cell>
          <cell r="K47">
            <v>337.23807604485376</v>
          </cell>
          <cell r="L47">
            <v>0.08</v>
          </cell>
          <cell r="M47">
            <v>26.979046083588301</v>
          </cell>
          <cell r="N47">
            <v>364.21712212844204</v>
          </cell>
          <cell r="P47">
            <v>2</v>
          </cell>
          <cell r="T47">
            <v>1</v>
          </cell>
          <cell r="AD47">
            <v>30.660353535353536</v>
          </cell>
          <cell r="AI47">
            <v>1</v>
          </cell>
          <cell r="AJ47">
            <v>1</v>
          </cell>
          <cell r="AK47">
            <v>1</v>
          </cell>
          <cell r="AN47">
            <v>1</v>
          </cell>
          <cell r="AO47">
            <v>1</v>
          </cell>
          <cell r="AT47">
            <v>106.31546442687747</v>
          </cell>
          <cell r="AV47">
            <v>501.19294009067301</v>
          </cell>
        </row>
        <row r="48">
          <cell r="C48" t="str">
            <v>Custo Total (R$/Hora)</v>
          </cell>
          <cell r="D48">
            <v>104.41889218506078</v>
          </cell>
          <cell r="E48"/>
          <cell r="F48">
            <v>184.90691378395542</v>
          </cell>
          <cell r="G48"/>
          <cell r="H48">
            <v>47.91227007583754</v>
          </cell>
          <cell r="I48"/>
          <cell r="J48"/>
          <cell r="O48"/>
          <cell r="P48">
            <v>9.1755050505050502</v>
          </cell>
          <cell r="Q48"/>
          <cell r="R48"/>
          <cell r="S48"/>
          <cell r="T48">
            <v>21.484848484848484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E48"/>
          <cell r="AF48"/>
          <cell r="AG48"/>
          <cell r="AH48"/>
          <cell r="AI48">
            <v>51.491820377689947</v>
          </cell>
          <cell r="AJ48">
            <v>9.9954710144927539</v>
          </cell>
          <cell r="AK48">
            <v>19.990942028985508</v>
          </cell>
          <cell r="AL48"/>
          <cell r="AM48"/>
          <cell r="AN48">
            <v>18.779369784804569</v>
          </cell>
          <cell r="AO48">
            <v>6.0578612209046998</v>
          </cell>
          <cell r="AP48"/>
          <cell r="AQ48"/>
          <cell r="AR48"/>
          <cell r="AS48"/>
        </row>
        <row r="49">
          <cell r="B49" t="str">
            <v>EQ14</v>
          </cell>
          <cell r="C49" t="str">
            <v>Quantidade</v>
          </cell>
          <cell r="E49">
            <v>2</v>
          </cell>
          <cell r="G49">
            <v>4</v>
          </cell>
          <cell r="H49">
            <v>2</v>
          </cell>
          <cell r="K49">
            <v>264.28124686438099</v>
          </cell>
          <cell r="L49">
            <v>0.08</v>
          </cell>
          <cell r="M49">
            <v>21.142499749150481</v>
          </cell>
          <cell r="N49">
            <v>285.42374661353148</v>
          </cell>
          <cell r="P49">
            <v>2</v>
          </cell>
          <cell r="T49">
            <v>1</v>
          </cell>
          <cell r="AD49">
            <v>30.660353535353536</v>
          </cell>
          <cell r="AI49">
            <v>1</v>
          </cell>
          <cell r="AJ49">
            <v>1</v>
          </cell>
          <cell r="AK49">
            <v>1</v>
          </cell>
          <cell r="AN49">
            <v>1</v>
          </cell>
          <cell r="AO49">
            <v>1</v>
          </cell>
          <cell r="AT49">
            <v>106.31546442687747</v>
          </cell>
          <cell r="AV49">
            <v>422.3995645757625</v>
          </cell>
        </row>
        <row r="50">
          <cell r="C50" t="str">
            <v>Custo Total (R$/Hora)</v>
          </cell>
          <cell r="D50"/>
          <cell r="E50">
            <v>83.53511374804863</v>
          </cell>
          <cell r="F50"/>
          <cell r="G50">
            <v>142.41631705566229</v>
          </cell>
          <cell r="H50">
            <v>38.329816060670034</v>
          </cell>
          <cell r="I50"/>
          <cell r="J50"/>
          <cell r="O50"/>
          <cell r="P50">
            <v>9.1755050505050502</v>
          </cell>
          <cell r="Q50"/>
          <cell r="R50"/>
          <cell r="S50"/>
          <cell r="T50">
            <v>21.484848484848484</v>
          </cell>
          <cell r="U50"/>
          <cell r="V50"/>
          <cell r="W50"/>
          <cell r="X50"/>
          <cell r="Y50"/>
          <cell r="AB50"/>
          <cell r="AC50"/>
          <cell r="AE50"/>
          <cell r="AF50"/>
          <cell r="AG50"/>
          <cell r="AH50"/>
          <cell r="AI50">
            <v>51.491820377689947</v>
          </cell>
          <cell r="AJ50">
            <v>9.9954710144927539</v>
          </cell>
          <cell r="AK50">
            <v>19.990942028985508</v>
          </cell>
          <cell r="AL50"/>
          <cell r="AM50"/>
          <cell r="AN50">
            <v>18.779369784804569</v>
          </cell>
          <cell r="AO50">
            <v>6.0578612209046998</v>
          </cell>
          <cell r="AP50"/>
          <cell r="AQ50"/>
          <cell r="AR50"/>
          <cell r="AS50"/>
        </row>
        <row r="51">
          <cell r="B51" t="str">
            <v>EQ14_T</v>
          </cell>
          <cell r="C51" t="str">
            <v>Quantidade</v>
          </cell>
          <cell r="E51">
            <v>2</v>
          </cell>
          <cell r="G51">
            <v>4</v>
          </cell>
          <cell r="H51">
            <v>2</v>
          </cell>
          <cell r="K51">
            <v>330.35155858047619</v>
          </cell>
          <cell r="L51">
            <v>0.08</v>
          </cell>
          <cell r="M51">
            <v>26.428124686438096</v>
          </cell>
          <cell r="N51">
            <v>356.77968326691428</v>
          </cell>
          <cell r="P51">
            <v>2</v>
          </cell>
          <cell r="T51">
            <v>1</v>
          </cell>
          <cell r="AD51">
            <v>30.660353535353536</v>
          </cell>
          <cell r="AI51">
            <v>1</v>
          </cell>
          <cell r="AJ51">
            <v>1</v>
          </cell>
          <cell r="AK51">
            <v>1</v>
          </cell>
          <cell r="AN51">
            <v>1</v>
          </cell>
          <cell r="AO51">
            <v>1</v>
          </cell>
          <cell r="AT51">
            <v>106.31546442687747</v>
          </cell>
          <cell r="AV51">
            <v>493.75550122914524</v>
          </cell>
        </row>
        <row r="52">
          <cell r="C52" t="str">
            <v>Custo Total (R$/Hora)</v>
          </cell>
          <cell r="D52"/>
          <cell r="E52">
            <v>104.41889218506078</v>
          </cell>
          <cell r="F52"/>
          <cell r="G52">
            <v>178.02039631957786</v>
          </cell>
          <cell r="H52">
            <v>47.91227007583754</v>
          </cell>
          <cell r="I52"/>
          <cell r="J52"/>
          <cell r="O52"/>
          <cell r="P52">
            <v>9.1755050505050502</v>
          </cell>
          <cell r="Q52"/>
          <cell r="R52"/>
          <cell r="S52"/>
          <cell r="T52">
            <v>21.484848484848484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E52"/>
          <cell r="AF52"/>
          <cell r="AG52"/>
          <cell r="AH52"/>
          <cell r="AI52">
            <v>51.491820377689947</v>
          </cell>
          <cell r="AJ52">
            <v>9.9954710144927539</v>
          </cell>
          <cell r="AK52">
            <v>19.990942028985508</v>
          </cell>
          <cell r="AL52"/>
          <cell r="AM52"/>
          <cell r="AN52">
            <v>18.779369784804569</v>
          </cell>
          <cell r="AO52">
            <v>6.0578612209046998</v>
          </cell>
          <cell r="AP52"/>
          <cell r="AQ52"/>
          <cell r="AR52"/>
          <cell r="AS52"/>
        </row>
        <row r="53">
          <cell r="B53" t="str">
            <v>EQ15</v>
          </cell>
          <cell r="C53" t="str">
            <v>Quantidade</v>
          </cell>
          <cell r="F53">
            <v>1</v>
          </cell>
          <cell r="H53">
            <v>1</v>
          </cell>
          <cell r="K53">
            <v>56.146290787126091</v>
          </cell>
          <cell r="L53">
            <v>0.08</v>
          </cell>
          <cell r="M53">
            <v>4.4917032629700877</v>
          </cell>
          <cell r="N53">
            <v>60.637994050096182</v>
          </cell>
          <cell r="R53">
            <v>1</v>
          </cell>
          <cell r="W53">
            <v>1</v>
          </cell>
          <cell r="AD53">
            <v>7.7760555555555557</v>
          </cell>
          <cell r="AT53">
            <v>0</v>
          </cell>
          <cell r="AV53">
            <v>68.414049605651741</v>
          </cell>
        </row>
        <row r="54">
          <cell r="C54" t="str">
            <v>Custo Total (R$/Hora)</v>
          </cell>
          <cell r="D54"/>
          <cell r="E54"/>
          <cell r="F54">
            <v>36.981382756791078</v>
          </cell>
          <cell r="G54"/>
          <cell r="H54">
            <v>19.164908030335017</v>
          </cell>
          <cell r="I54"/>
          <cell r="J54"/>
          <cell r="O54"/>
          <cell r="P54"/>
          <cell r="Q54"/>
          <cell r="R54">
            <v>6.7662878787878791</v>
          </cell>
          <cell r="S54"/>
          <cell r="T54"/>
          <cell r="U54"/>
          <cell r="V54"/>
          <cell r="W54">
            <v>1.0097676767676769</v>
          </cell>
          <cell r="X54"/>
          <cell r="Y54"/>
          <cell r="AB54"/>
          <cell r="AC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</row>
        <row r="55">
          <cell r="B55" t="str">
            <v>EQ16</v>
          </cell>
          <cell r="C55" t="str">
            <v>Quantidade</v>
          </cell>
          <cell r="G55">
            <v>1</v>
          </cell>
          <cell r="H55">
            <v>1</v>
          </cell>
          <cell r="K55">
            <v>54.768987294250593</v>
          </cell>
          <cell r="L55">
            <v>0.08</v>
          </cell>
          <cell r="M55">
            <v>4.3815189835400474</v>
          </cell>
          <cell r="N55">
            <v>59.15050627779064</v>
          </cell>
          <cell r="R55">
            <v>1</v>
          </cell>
          <cell r="W55">
            <v>1</v>
          </cell>
          <cell r="AD55">
            <v>7.7760555555555557</v>
          </cell>
          <cell r="AT55">
            <v>0</v>
          </cell>
          <cell r="AV55">
            <v>66.926561833346199</v>
          </cell>
        </row>
        <row r="56">
          <cell r="C56" t="str">
            <v>Custo Total (R$/Hora)</v>
          </cell>
          <cell r="D56"/>
          <cell r="E56"/>
          <cell r="F56"/>
          <cell r="G56">
            <v>35.604079263915573</v>
          </cell>
          <cell r="H56">
            <v>19.164908030335017</v>
          </cell>
          <cell r="I56"/>
          <cell r="J56"/>
          <cell r="O56"/>
          <cell r="P56"/>
          <cell r="Q56"/>
          <cell r="R56">
            <v>6.7662878787878791</v>
          </cell>
          <cell r="S56"/>
          <cell r="T56"/>
          <cell r="U56"/>
          <cell r="V56"/>
          <cell r="W56">
            <v>1.0097676767676769</v>
          </cell>
          <cell r="X56"/>
          <cell r="Y56"/>
          <cell r="AB56"/>
          <cell r="AC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</row>
        <row r="57">
          <cell r="B57" t="str">
            <v>EQ17</v>
          </cell>
          <cell r="C57" t="str">
            <v>Quantidade</v>
          </cell>
          <cell r="F57">
            <v>2</v>
          </cell>
          <cell r="H57">
            <v>1</v>
          </cell>
          <cell r="K57">
            <v>93.127673543917169</v>
          </cell>
          <cell r="L57">
            <v>0.08</v>
          </cell>
          <cell r="M57">
            <v>7.4502138835133733</v>
          </cell>
          <cell r="N57">
            <v>100.57788742743054</v>
          </cell>
          <cell r="Q57">
            <v>1</v>
          </cell>
          <cell r="AD57">
            <v>5.955303030303031</v>
          </cell>
          <cell r="AG57">
            <v>1</v>
          </cell>
          <cell r="AT57">
            <v>24.231444883618799</v>
          </cell>
          <cell r="AV57">
            <v>130.76463534135237</v>
          </cell>
        </row>
        <row r="58">
          <cell r="C58" t="str">
            <v>Custo Total (R$/Hora)</v>
          </cell>
          <cell r="D58"/>
          <cell r="E58"/>
          <cell r="F58">
            <v>73.962765513582156</v>
          </cell>
          <cell r="G58"/>
          <cell r="H58">
            <v>19.164908030335017</v>
          </cell>
          <cell r="I58"/>
          <cell r="J58"/>
          <cell r="O58"/>
          <cell r="P58"/>
          <cell r="Q58">
            <v>5.955303030303031</v>
          </cell>
          <cell r="R58"/>
          <cell r="S58"/>
          <cell r="T58"/>
          <cell r="U58"/>
          <cell r="V58"/>
          <cell r="W58"/>
          <cell r="X58"/>
          <cell r="Y58"/>
          <cell r="AB58"/>
          <cell r="AC58"/>
          <cell r="AE58"/>
          <cell r="AF58"/>
          <cell r="AG58">
            <v>24.231444883618799</v>
          </cell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</row>
        <row r="59">
          <cell r="B59" t="str">
            <v>EQ17_T</v>
          </cell>
          <cell r="C59" t="str">
            <v>Quantidade</v>
          </cell>
          <cell r="F59">
            <v>2</v>
          </cell>
          <cell r="H59">
            <v>1</v>
          </cell>
          <cell r="K59">
            <v>116.40959192989648</v>
          </cell>
          <cell r="L59">
            <v>0.08</v>
          </cell>
          <cell r="M59">
            <v>9.3127673543917187</v>
          </cell>
          <cell r="N59">
            <v>125.7223592842882</v>
          </cell>
          <cell r="Q59">
            <v>1</v>
          </cell>
          <cell r="AD59">
            <v>5.955303030303031</v>
          </cell>
          <cell r="AG59">
            <v>1</v>
          </cell>
          <cell r="AT59">
            <v>24.231444883618799</v>
          </cell>
          <cell r="AV59">
            <v>155.90910719821002</v>
          </cell>
        </row>
        <row r="60">
          <cell r="C60" t="str">
            <v>Custo Total (R$/Hora)</v>
          </cell>
          <cell r="D60"/>
          <cell r="E60"/>
          <cell r="F60">
            <v>92.453456891977709</v>
          </cell>
          <cell r="G60"/>
          <cell r="H60">
            <v>23.95613503791877</v>
          </cell>
          <cell r="I60"/>
          <cell r="J60"/>
          <cell r="O60"/>
          <cell r="P60"/>
          <cell r="Q60">
            <v>5.955303030303031</v>
          </cell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E60"/>
          <cell r="AF60"/>
          <cell r="AG60">
            <v>24.231444883618799</v>
          </cell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</row>
        <row r="61">
          <cell r="B61" t="str">
            <v>EQ18</v>
          </cell>
          <cell r="C61" t="str">
            <v>Quantidade</v>
          </cell>
          <cell r="G61">
            <v>1</v>
          </cell>
          <cell r="H61">
            <v>1</v>
          </cell>
          <cell r="K61">
            <v>54.768987294250593</v>
          </cell>
          <cell r="L61">
            <v>0.08</v>
          </cell>
          <cell r="M61">
            <v>4.3815189835400474</v>
          </cell>
          <cell r="N61">
            <v>59.15050627779064</v>
          </cell>
          <cell r="S61">
            <v>1</v>
          </cell>
          <cell r="AD61">
            <v>12.267676767676768</v>
          </cell>
          <cell r="AT61">
            <v>0</v>
          </cell>
          <cell r="AV61">
            <v>71.418183045467401</v>
          </cell>
        </row>
        <row r="62">
          <cell r="C62" t="str">
            <v>Custo Total (R$/Hora)</v>
          </cell>
          <cell r="D62"/>
          <cell r="E62"/>
          <cell r="F62"/>
          <cell r="G62">
            <v>35.604079263915573</v>
          </cell>
          <cell r="H62">
            <v>19.164908030335017</v>
          </cell>
          <cell r="I62"/>
          <cell r="J62"/>
          <cell r="O62"/>
          <cell r="P62"/>
          <cell r="Q62"/>
          <cell r="R62"/>
          <cell r="S62">
            <v>12.267676767676768</v>
          </cell>
          <cell r="T62"/>
          <cell r="U62"/>
          <cell r="V62"/>
          <cell r="W62"/>
          <cell r="X62"/>
          <cell r="Y62"/>
          <cell r="AB62"/>
          <cell r="AC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</row>
        <row r="63">
          <cell r="B63" t="str">
            <v>EQ19</v>
          </cell>
          <cell r="C63" t="str">
            <v>Quantidade</v>
          </cell>
          <cell r="G63">
            <v>1</v>
          </cell>
          <cell r="H63">
            <v>1</v>
          </cell>
          <cell r="K63">
            <v>54.768987294250593</v>
          </cell>
          <cell r="L63">
            <v>0.08</v>
          </cell>
          <cell r="M63">
            <v>4.3815189835400474</v>
          </cell>
          <cell r="N63">
            <v>59.15050627779064</v>
          </cell>
          <cell r="AD63">
            <v>0</v>
          </cell>
          <cell r="AP63">
            <v>1</v>
          </cell>
          <cell r="AQ63">
            <v>1</v>
          </cell>
          <cell r="AT63">
            <v>29.683519982433026</v>
          </cell>
          <cell r="AV63">
            <v>88.834026260223666</v>
          </cell>
        </row>
        <row r="64">
          <cell r="C64" t="str">
            <v>Custo Total (R$/Hora)</v>
          </cell>
          <cell r="D64"/>
          <cell r="E64"/>
          <cell r="F64"/>
          <cell r="G64">
            <v>35.604079263915573</v>
          </cell>
          <cell r="H64">
            <v>19.164908030335017</v>
          </cell>
          <cell r="I64"/>
          <cell r="J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AB64"/>
          <cell r="AC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>
            <v>18.173583662714098</v>
          </cell>
          <cell r="AQ64">
            <v>11.509936319718928</v>
          </cell>
          <cell r="AR64"/>
          <cell r="AS64"/>
        </row>
        <row r="65">
          <cell r="B65" t="str">
            <v>EQ19_T</v>
          </cell>
          <cell r="C65" t="str">
            <v>Quantidade</v>
          </cell>
          <cell r="G65">
            <v>1</v>
          </cell>
          <cell r="H65">
            <v>1</v>
          </cell>
          <cell r="K65">
            <v>68.461234117813234</v>
          </cell>
          <cell r="L65">
            <v>0.08</v>
          </cell>
          <cell r="M65">
            <v>5.4768987294250584</v>
          </cell>
          <cell r="N65">
            <v>73.938132847238293</v>
          </cell>
          <cell r="AD65">
            <v>0</v>
          </cell>
          <cell r="AP65">
            <v>1</v>
          </cell>
          <cell r="AQ65">
            <v>1</v>
          </cell>
          <cell r="AT65">
            <v>29.683519982433026</v>
          </cell>
          <cell r="AV65">
            <v>103.62165282967132</v>
          </cell>
        </row>
        <row r="66">
          <cell r="C66" t="str">
            <v>Custo Total (R$/Hora)</v>
          </cell>
          <cell r="D66"/>
          <cell r="E66"/>
          <cell r="F66"/>
          <cell r="G66">
            <v>44.505099079894464</v>
          </cell>
          <cell r="H66">
            <v>23.95613503791877</v>
          </cell>
          <cell r="I66"/>
          <cell r="J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>
            <v>18.173583662714098</v>
          </cell>
          <cell r="AQ66">
            <v>11.509936319718928</v>
          </cell>
          <cell r="AR66"/>
          <cell r="AS66"/>
        </row>
        <row r="67">
          <cell r="B67" t="str">
            <v>EQ20</v>
          </cell>
          <cell r="C67" t="str">
            <v>Quantidade</v>
          </cell>
          <cell r="K67">
            <v>0</v>
          </cell>
          <cell r="L67">
            <v>0.08</v>
          </cell>
          <cell r="M67">
            <v>0</v>
          </cell>
          <cell r="N67">
            <v>0</v>
          </cell>
          <cell r="AD67">
            <v>0</v>
          </cell>
          <cell r="AT67">
            <v>0</v>
          </cell>
          <cell r="AV67">
            <v>0</v>
          </cell>
        </row>
        <row r="68">
          <cell r="C68" t="str">
            <v>Custo Total (R$/Hora)</v>
          </cell>
          <cell r="D68"/>
          <cell r="E68"/>
          <cell r="F68"/>
          <cell r="G68"/>
          <cell r="H68"/>
          <cell r="I68"/>
          <cell r="J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AB68"/>
          <cell r="AC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</row>
        <row r="69">
          <cell r="B69" t="str">
            <v>EQ21</v>
          </cell>
          <cell r="C69" t="str">
            <v>Quantidade</v>
          </cell>
          <cell r="G69">
            <v>1</v>
          </cell>
          <cell r="H69">
            <v>1</v>
          </cell>
          <cell r="K69">
            <v>54.768987294250593</v>
          </cell>
          <cell r="L69">
            <v>0.08</v>
          </cell>
          <cell r="M69">
            <v>4.3815189835400474</v>
          </cell>
          <cell r="N69">
            <v>59.15050627779064</v>
          </cell>
          <cell r="T69">
            <v>1</v>
          </cell>
          <cell r="AD69">
            <v>21.484848484848484</v>
          </cell>
          <cell r="AR69">
            <v>1</v>
          </cell>
          <cell r="AT69">
            <v>3.0289306104523499</v>
          </cell>
          <cell r="AV69">
            <v>83.664285373091474</v>
          </cell>
        </row>
        <row r="70">
          <cell r="C70" t="str">
            <v>Custo Total (R$/Hora)</v>
          </cell>
          <cell r="D70"/>
          <cell r="E70"/>
          <cell r="F70"/>
          <cell r="G70">
            <v>35.604079263915573</v>
          </cell>
          <cell r="H70">
            <v>19.164908030335017</v>
          </cell>
          <cell r="I70"/>
          <cell r="J70"/>
          <cell r="O70"/>
          <cell r="P70"/>
          <cell r="Q70"/>
          <cell r="R70"/>
          <cell r="S70"/>
          <cell r="T70">
            <v>21.484848484848484</v>
          </cell>
          <cell r="U70"/>
          <cell r="V70"/>
          <cell r="W70"/>
          <cell r="X70"/>
          <cell r="Y70"/>
          <cell r="AB70"/>
          <cell r="AC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>
            <v>3.0289306104523499</v>
          </cell>
          <cell r="AS70"/>
        </row>
        <row r="71">
          <cell r="B71" t="str">
            <v>EQ22</v>
          </cell>
          <cell r="C71" t="str">
            <v>Quantidade</v>
          </cell>
          <cell r="G71">
            <v>1</v>
          </cell>
          <cell r="H71">
            <v>2</v>
          </cell>
          <cell r="K71">
            <v>73.933895324585606</v>
          </cell>
          <cell r="L71">
            <v>0.08</v>
          </cell>
          <cell r="M71">
            <v>5.9147116259668486</v>
          </cell>
          <cell r="N71">
            <v>79.848606950552451</v>
          </cell>
          <cell r="T71">
            <v>1</v>
          </cell>
          <cell r="AD71">
            <v>21.484848484848484</v>
          </cell>
          <cell r="AN71">
            <v>1</v>
          </cell>
          <cell r="AT71">
            <v>18.779369784804569</v>
          </cell>
          <cell r="AV71">
            <v>120.11282522020551</v>
          </cell>
        </row>
        <row r="72">
          <cell r="C72" t="str">
            <v>Custo Total (R$/Hora)</v>
          </cell>
          <cell r="D72"/>
          <cell r="E72"/>
          <cell r="F72"/>
          <cell r="G72">
            <v>35.604079263915573</v>
          </cell>
          <cell r="H72">
            <v>38.329816060670034</v>
          </cell>
          <cell r="I72"/>
          <cell r="J72"/>
          <cell r="O72"/>
          <cell r="P72"/>
          <cell r="Q72"/>
          <cell r="R72"/>
          <cell r="S72"/>
          <cell r="T72">
            <v>21.484848484848484</v>
          </cell>
          <cell r="U72"/>
          <cell r="V72"/>
          <cell r="W72"/>
          <cell r="X72"/>
          <cell r="Y72"/>
          <cell r="AB72"/>
          <cell r="AC72"/>
          <cell r="AE72"/>
          <cell r="AF72"/>
          <cell r="AG72"/>
          <cell r="AH72"/>
          <cell r="AI72"/>
          <cell r="AJ72"/>
          <cell r="AK72"/>
          <cell r="AL72"/>
          <cell r="AM72"/>
          <cell r="AN72">
            <v>18.779369784804569</v>
          </cell>
          <cell r="AO72"/>
          <cell r="AP72"/>
          <cell r="AQ72"/>
          <cell r="AR72"/>
          <cell r="AS72"/>
        </row>
        <row r="73">
          <cell r="B73" t="str">
            <v>EQ22_T</v>
          </cell>
          <cell r="C73" t="str">
            <v>Quantidade</v>
          </cell>
          <cell r="G73">
            <v>1</v>
          </cell>
          <cell r="H73">
            <v>2</v>
          </cell>
          <cell r="K73">
            <v>92.417369155732004</v>
          </cell>
          <cell r="L73">
            <v>0.08</v>
          </cell>
          <cell r="M73">
            <v>7.3933895324585608</v>
          </cell>
          <cell r="N73">
            <v>99.81075868819056</v>
          </cell>
          <cell r="T73">
            <v>1</v>
          </cell>
          <cell r="AD73">
            <v>21.484848484848484</v>
          </cell>
          <cell r="AN73">
            <v>1</v>
          </cell>
          <cell r="AT73">
            <v>18.779369784804569</v>
          </cell>
          <cell r="AV73">
            <v>140.0749769578436</v>
          </cell>
        </row>
        <row r="74">
          <cell r="C74" t="str">
            <v>Custo Total (R$/Hora)</v>
          </cell>
          <cell r="D74"/>
          <cell r="E74"/>
          <cell r="F74"/>
          <cell r="G74">
            <v>44.505099079894464</v>
          </cell>
          <cell r="H74">
            <v>47.91227007583754</v>
          </cell>
          <cell r="I74"/>
          <cell r="J74"/>
          <cell r="O74"/>
          <cell r="P74"/>
          <cell r="Q74"/>
          <cell r="R74"/>
          <cell r="S74"/>
          <cell r="T74">
            <v>21.484848484848484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E74"/>
          <cell r="AF74"/>
          <cell r="AG74"/>
          <cell r="AH74"/>
          <cell r="AI74"/>
          <cell r="AJ74"/>
          <cell r="AK74"/>
          <cell r="AL74"/>
          <cell r="AM74"/>
          <cell r="AN74">
            <v>18.779369784804569</v>
          </cell>
          <cell r="AO74"/>
          <cell r="AP74"/>
          <cell r="AQ74"/>
          <cell r="AR74"/>
          <cell r="AS74"/>
        </row>
        <row r="75">
          <cell r="B75" t="str">
            <v>EQ23</v>
          </cell>
          <cell r="C75" t="str">
            <v>Quantidade</v>
          </cell>
          <cell r="F75">
            <v>2</v>
          </cell>
          <cell r="H75">
            <v>1</v>
          </cell>
          <cell r="K75">
            <v>93.127673543917169</v>
          </cell>
          <cell r="L75">
            <v>0.08</v>
          </cell>
          <cell r="M75">
            <v>7.4502138835133733</v>
          </cell>
          <cell r="N75">
            <v>100.57788742743054</v>
          </cell>
          <cell r="T75">
            <v>1</v>
          </cell>
          <cell r="AD75">
            <v>21.484848484848484</v>
          </cell>
          <cell r="AG75">
            <v>1</v>
          </cell>
          <cell r="AT75">
            <v>24.231444883618799</v>
          </cell>
          <cell r="AV75">
            <v>146.29418079589783</v>
          </cell>
        </row>
        <row r="76">
          <cell r="C76" t="str">
            <v>Custo Total (R$/Hora)</v>
          </cell>
          <cell r="D76"/>
          <cell r="E76"/>
          <cell r="F76">
            <v>73.962765513582156</v>
          </cell>
          <cell r="G76"/>
          <cell r="H76">
            <v>19.164908030335017</v>
          </cell>
          <cell r="I76"/>
          <cell r="J76"/>
          <cell r="O76"/>
          <cell r="P76"/>
          <cell r="Q76"/>
          <cell r="R76"/>
          <cell r="S76"/>
          <cell r="T76">
            <v>21.484848484848484</v>
          </cell>
          <cell r="U76"/>
          <cell r="V76"/>
          <cell r="W76"/>
          <cell r="X76"/>
          <cell r="Y76"/>
          <cell r="AB76"/>
          <cell r="AC76"/>
          <cell r="AE76"/>
          <cell r="AF76"/>
          <cell r="AG76">
            <v>24.231444883618799</v>
          </cell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</row>
        <row r="77">
          <cell r="B77" t="str">
            <v>EQ23_T</v>
          </cell>
          <cell r="C77" t="str">
            <v>Quantidade</v>
          </cell>
          <cell r="F77">
            <v>2</v>
          </cell>
          <cell r="H77">
            <v>1</v>
          </cell>
          <cell r="K77">
            <v>116.40959192989648</v>
          </cell>
          <cell r="L77">
            <v>0.08</v>
          </cell>
          <cell r="M77">
            <v>9.3127673543917187</v>
          </cell>
          <cell r="N77">
            <v>125.7223592842882</v>
          </cell>
          <cell r="T77">
            <v>1</v>
          </cell>
          <cell r="AD77">
            <v>21.484848484848484</v>
          </cell>
          <cell r="AG77">
            <v>1</v>
          </cell>
          <cell r="AT77">
            <v>24.231444883618799</v>
          </cell>
          <cell r="AV77">
            <v>171.43865265275548</v>
          </cell>
        </row>
        <row r="78">
          <cell r="C78" t="str">
            <v>Custo Total (R$/Hora)</v>
          </cell>
          <cell r="D78"/>
          <cell r="E78"/>
          <cell r="F78">
            <v>92.453456891977709</v>
          </cell>
          <cell r="G78"/>
          <cell r="H78">
            <v>23.95613503791877</v>
          </cell>
          <cell r="I78"/>
          <cell r="J78"/>
          <cell r="O78"/>
          <cell r="P78"/>
          <cell r="Q78"/>
          <cell r="R78"/>
          <cell r="S78"/>
          <cell r="T78">
            <v>21.484848484848484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E78"/>
          <cell r="AF78"/>
          <cell r="AG78">
            <v>24.231444883618799</v>
          </cell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</row>
        <row r="79">
          <cell r="B79" t="str">
            <v>EQ24</v>
          </cell>
          <cell r="C79" t="str">
            <v>Quantidade</v>
          </cell>
          <cell r="G79">
            <v>1</v>
          </cell>
          <cell r="H79">
            <v>1</v>
          </cell>
          <cell r="K79">
            <v>54.768987294250593</v>
          </cell>
          <cell r="L79">
            <v>0.08</v>
          </cell>
          <cell r="M79">
            <v>4.3815189835400474</v>
          </cell>
          <cell r="N79">
            <v>59.15050627779064</v>
          </cell>
          <cell r="R79">
            <v>1</v>
          </cell>
          <cell r="AD79">
            <v>6.7662878787878791</v>
          </cell>
          <cell r="AT79">
            <v>0</v>
          </cell>
          <cell r="AV79">
            <v>65.916794156578518</v>
          </cell>
        </row>
        <row r="80">
          <cell r="C80" t="str">
            <v>Custo Total (R$/Hora)</v>
          </cell>
          <cell r="D80"/>
          <cell r="E80"/>
          <cell r="F80"/>
          <cell r="G80">
            <v>35.604079263915573</v>
          </cell>
          <cell r="H80">
            <v>19.164908030335017</v>
          </cell>
          <cell r="I80"/>
          <cell r="J80"/>
          <cell r="O80"/>
          <cell r="P80"/>
          <cell r="Q80"/>
          <cell r="R80">
            <v>6.7662878787878791</v>
          </cell>
          <cell r="S80"/>
          <cell r="T80"/>
          <cell r="U80"/>
          <cell r="V80"/>
          <cell r="W80"/>
          <cell r="X80"/>
          <cell r="Y80"/>
          <cell r="AB80"/>
          <cell r="AC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</row>
        <row r="81">
          <cell r="B81" t="str">
            <v>EQ24_T</v>
          </cell>
          <cell r="C81" t="str">
            <v>Quantidade</v>
          </cell>
          <cell r="G81">
            <v>1</v>
          </cell>
          <cell r="H81">
            <v>1</v>
          </cell>
          <cell r="K81">
            <v>68.461234117813234</v>
          </cell>
          <cell r="L81">
            <v>0.08</v>
          </cell>
          <cell r="M81">
            <v>5.4768987294250584</v>
          </cell>
          <cell r="N81">
            <v>73.938132847238293</v>
          </cell>
          <cell r="R81">
            <v>1</v>
          </cell>
          <cell r="AD81">
            <v>6.7662878787878791</v>
          </cell>
          <cell r="AT81">
            <v>0</v>
          </cell>
          <cell r="AV81">
            <v>80.704420726026171</v>
          </cell>
        </row>
        <row r="82">
          <cell r="C82" t="str">
            <v>Custo Total (R$/Hora)</v>
          </cell>
          <cell r="D82"/>
          <cell r="E82"/>
          <cell r="F82"/>
          <cell r="G82">
            <v>44.505099079894464</v>
          </cell>
          <cell r="H82">
            <v>23.95613503791877</v>
          </cell>
          <cell r="I82"/>
          <cell r="J82"/>
          <cell r="O82"/>
          <cell r="P82"/>
          <cell r="Q82"/>
          <cell r="R82">
            <v>6.7662878787878791</v>
          </cell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</row>
        <row r="83">
          <cell r="B83" t="str">
            <v>EQ25</v>
          </cell>
          <cell r="C83" t="str">
            <v>Quantidade</v>
          </cell>
          <cell r="I83">
            <v>1</v>
          </cell>
          <cell r="J83">
            <v>1</v>
          </cell>
          <cell r="K83">
            <v>162.29119215228502</v>
          </cell>
          <cell r="L83">
            <v>0.15</v>
          </cell>
          <cell r="M83">
            <v>24.343678822842751</v>
          </cell>
          <cell r="N83">
            <v>186.63487097512777</v>
          </cell>
          <cell r="P83">
            <v>1</v>
          </cell>
          <cell r="Q83">
            <v>1</v>
          </cell>
          <cell r="T83">
            <v>1</v>
          </cell>
          <cell r="U83">
            <v>1</v>
          </cell>
          <cell r="AD83">
            <v>43.080631313131313</v>
          </cell>
          <cell r="AG83">
            <v>1</v>
          </cell>
          <cell r="AT83">
            <v>24.231444883618799</v>
          </cell>
          <cell r="AV83">
            <v>253.94694717187787</v>
          </cell>
        </row>
        <row r="84">
          <cell r="C84" t="str">
            <v>Custo Total (R$/Hora)</v>
          </cell>
          <cell r="D84"/>
          <cell r="E84"/>
          <cell r="F84"/>
          <cell r="G84"/>
          <cell r="H84"/>
          <cell r="I84">
            <v>63.933948941063235</v>
          </cell>
          <cell r="J84">
            <v>98.357243211221771</v>
          </cell>
          <cell r="O84"/>
          <cell r="P84">
            <v>4.5877525252525251</v>
          </cell>
          <cell r="Q84">
            <v>5.955303030303031</v>
          </cell>
          <cell r="R84"/>
          <cell r="S84"/>
          <cell r="T84">
            <v>21.484848484848484</v>
          </cell>
          <cell r="U84">
            <v>11.052727272727273</v>
          </cell>
          <cell r="V84"/>
          <cell r="W84"/>
          <cell r="X84"/>
          <cell r="Y84"/>
          <cell r="AB84"/>
          <cell r="AC84"/>
          <cell r="AE84"/>
          <cell r="AF84"/>
          <cell r="AG84">
            <v>24.231444883618799</v>
          </cell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</row>
        <row r="85">
          <cell r="B85" t="str">
            <v>EQ26</v>
          </cell>
          <cell r="C85" t="str">
            <v>Quantidade</v>
          </cell>
          <cell r="G85">
            <v>1</v>
          </cell>
          <cell r="H85">
            <v>1</v>
          </cell>
          <cell r="K85">
            <v>54.768987294250593</v>
          </cell>
          <cell r="L85">
            <v>0.08</v>
          </cell>
          <cell r="M85">
            <v>4.3815189835400474</v>
          </cell>
          <cell r="N85">
            <v>59.15050627779064</v>
          </cell>
          <cell r="Z85">
            <v>1</v>
          </cell>
          <cell r="AD85">
            <v>45.719191919191914</v>
          </cell>
          <cell r="AT85">
            <v>0</v>
          </cell>
          <cell r="AV85">
            <v>104.86969819698255</v>
          </cell>
        </row>
        <row r="86">
          <cell r="C86" t="str">
            <v>Custo Total (R$/Hora)</v>
          </cell>
          <cell r="D86"/>
          <cell r="E86"/>
          <cell r="F86"/>
          <cell r="G86">
            <v>35.604079263915573</v>
          </cell>
          <cell r="H86">
            <v>19.164908030335017</v>
          </cell>
          <cell r="I86"/>
          <cell r="J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>
            <v>45.719191919191914</v>
          </cell>
          <cell r="AB86"/>
          <cell r="AC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</row>
        <row r="87">
          <cell r="B87" t="str">
            <v>EQ26_T</v>
          </cell>
          <cell r="C87" t="str">
            <v>Quantidade</v>
          </cell>
          <cell r="G87">
            <v>1</v>
          </cell>
          <cell r="H87">
            <v>1</v>
          </cell>
          <cell r="K87">
            <v>68.461234117813234</v>
          </cell>
          <cell r="L87">
            <v>0.08</v>
          </cell>
          <cell r="M87">
            <v>5.4768987294250584</v>
          </cell>
          <cell r="N87">
            <v>73.938132847238293</v>
          </cell>
          <cell r="Z87">
            <v>1</v>
          </cell>
          <cell r="AD87">
            <v>45.719191919191914</v>
          </cell>
          <cell r="AT87">
            <v>0</v>
          </cell>
          <cell r="AV87">
            <v>119.65732476643021</v>
          </cell>
        </row>
        <row r="88">
          <cell r="C88" t="str">
            <v>Custo Total (R$/Hora)</v>
          </cell>
          <cell r="D88"/>
          <cell r="E88"/>
          <cell r="F88"/>
          <cell r="G88">
            <v>44.505099079894464</v>
          </cell>
          <cell r="H88">
            <v>23.95613503791877</v>
          </cell>
          <cell r="I88"/>
          <cell r="J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>
            <v>45.719191919191914</v>
          </cell>
          <cell r="AA88"/>
          <cell r="AB88"/>
          <cell r="AC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</row>
        <row r="89">
          <cell r="B89" t="str">
            <v>EQ27</v>
          </cell>
          <cell r="C89" t="str">
            <v>Quantidade</v>
          </cell>
          <cell r="G89">
            <v>2</v>
          </cell>
          <cell r="H89">
            <v>2</v>
          </cell>
          <cell r="K89">
            <v>109.53797458850119</v>
          </cell>
          <cell r="L89">
            <v>0.08</v>
          </cell>
          <cell r="M89">
            <v>8.7630379670800949</v>
          </cell>
          <cell r="N89">
            <v>118.30101255558128</v>
          </cell>
          <cell r="S89">
            <v>1</v>
          </cell>
          <cell r="AD89">
            <v>12.267676767676768</v>
          </cell>
          <cell r="AJ89">
            <v>1</v>
          </cell>
          <cell r="AN89">
            <v>1</v>
          </cell>
          <cell r="AT89">
            <v>28.774840799297323</v>
          </cell>
          <cell r="AV89">
            <v>159.34353012255536</v>
          </cell>
        </row>
        <row r="90">
          <cell r="C90" t="str">
            <v>Custo Total (R$/Hora)</v>
          </cell>
          <cell r="D90"/>
          <cell r="E90"/>
          <cell r="F90"/>
          <cell r="G90">
            <v>71.208158527831145</v>
          </cell>
          <cell r="H90">
            <v>38.329816060670034</v>
          </cell>
          <cell r="I90"/>
          <cell r="J90"/>
          <cell r="O90"/>
          <cell r="P90"/>
          <cell r="Q90"/>
          <cell r="R90"/>
          <cell r="S90">
            <v>12.267676767676768</v>
          </cell>
          <cell r="T90"/>
          <cell r="U90"/>
          <cell r="V90"/>
          <cell r="W90"/>
          <cell r="X90"/>
          <cell r="Y90"/>
          <cell r="AB90"/>
          <cell r="AC90"/>
          <cell r="AE90"/>
          <cell r="AF90"/>
          <cell r="AG90"/>
          <cell r="AH90"/>
          <cell r="AI90"/>
          <cell r="AJ90">
            <v>9.9954710144927539</v>
          </cell>
          <cell r="AK90"/>
          <cell r="AL90"/>
          <cell r="AM90"/>
          <cell r="AN90">
            <v>18.779369784804569</v>
          </cell>
          <cell r="AO90"/>
          <cell r="AP90"/>
          <cell r="AQ90"/>
          <cell r="AR90"/>
          <cell r="AS90"/>
        </row>
        <row r="91">
          <cell r="B91" t="str">
            <v>EQ27_T</v>
          </cell>
          <cell r="C91" t="str">
            <v>Quantidade</v>
          </cell>
          <cell r="G91">
            <v>2</v>
          </cell>
          <cell r="H91">
            <v>2</v>
          </cell>
          <cell r="K91">
            <v>136.92246823562647</v>
          </cell>
          <cell r="L91">
            <v>0.08</v>
          </cell>
          <cell r="M91">
            <v>10.953797458850117</v>
          </cell>
          <cell r="N91">
            <v>147.87626569447659</v>
          </cell>
          <cell r="S91">
            <v>1</v>
          </cell>
          <cell r="AD91">
            <v>12.267676767676768</v>
          </cell>
          <cell r="AJ91">
            <v>1</v>
          </cell>
          <cell r="AN91">
            <v>1</v>
          </cell>
          <cell r="AT91">
            <v>28.774840799297323</v>
          </cell>
          <cell r="AV91">
            <v>188.91878326145067</v>
          </cell>
        </row>
        <row r="92">
          <cell r="C92" t="str">
            <v>Custo Total (R$/Hora)</v>
          </cell>
          <cell r="D92"/>
          <cell r="E92"/>
          <cell r="F92"/>
          <cell r="G92">
            <v>89.010198159788928</v>
          </cell>
          <cell r="H92">
            <v>47.91227007583754</v>
          </cell>
          <cell r="I92"/>
          <cell r="J92"/>
          <cell r="O92"/>
          <cell r="P92"/>
          <cell r="Q92"/>
          <cell r="R92"/>
          <cell r="S92">
            <v>12.267676767676768</v>
          </cell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E92"/>
          <cell r="AF92"/>
          <cell r="AG92"/>
          <cell r="AH92"/>
          <cell r="AI92"/>
          <cell r="AJ92">
            <v>9.9954710144927539</v>
          </cell>
          <cell r="AK92"/>
          <cell r="AL92"/>
          <cell r="AM92"/>
          <cell r="AN92">
            <v>18.779369784804569</v>
          </cell>
          <cell r="AO92"/>
          <cell r="AP92"/>
          <cell r="AQ92"/>
          <cell r="AR92"/>
          <cell r="AS92"/>
        </row>
        <row r="93">
          <cell r="B93" t="str">
            <v>EQ28</v>
          </cell>
          <cell r="C93" t="str">
            <v>Quantidade</v>
          </cell>
          <cell r="F93">
            <v>1</v>
          </cell>
          <cell r="H93">
            <v>1</v>
          </cell>
          <cell r="K93">
            <v>56.146290787126091</v>
          </cell>
          <cell r="L93">
            <v>0.08</v>
          </cell>
          <cell r="M93">
            <v>4.4917032629700877</v>
          </cell>
          <cell r="N93">
            <v>60.637994050096182</v>
          </cell>
          <cell r="P93">
            <v>1</v>
          </cell>
          <cell r="AD93">
            <v>4.5877525252525251</v>
          </cell>
          <cell r="AT93">
            <v>0</v>
          </cell>
          <cell r="AV93">
            <v>65.225746575348708</v>
          </cell>
        </row>
        <row r="94">
          <cell r="C94" t="str">
            <v>Custo Total (R$/Hora)</v>
          </cell>
          <cell r="D94"/>
          <cell r="E94"/>
          <cell r="F94">
            <v>36.981382756791078</v>
          </cell>
          <cell r="G94"/>
          <cell r="H94">
            <v>19.164908030335017</v>
          </cell>
          <cell r="I94"/>
          <cell r="J94"/>
          <cell r="O94"/>
          <cell r="P94">
            <v>4.5877525252525251</v>
          </cell>
          <cell r="Q94"/>
          <cell r="R94"/>
          <cell r="S94"/>
          <cell r="T94"/>
          <cell r="U94"/>
          <cell r="V94"/>
          <cell r="W94"/>
          <cell r="X94"/>
          <cell r="Y94"/>
          <cell r="AB94"/>
          <cell r="AC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</row>
        <row r="95">
          <cell r="B95" t="str">
            <v>EQ29</v>
          </cell>
          <cell r="C95" t="str">
            <v>Quantidade</v>
          </cell>
          <cell r="F95">
            <v>1</v>
          </cell>
          <cell r="G95">
            <v>1</v>
          </cell>
          <cell r="H95">
            <v>1</v>
          </cell>
          <cell r="K95">
            <v>91.750370051041656</v>
          </cell>
          <cell r="L95">
            <v>0.08</v>
          </cell>
          <cell r="M95">
            <v>7.340029604083333</v>
          </cell>
          <cell r="N95">
            <v>99.090399655124983</v>
          </cell>
          <cell r="P95">
            <v>1</v>
          </cell>
          <cell r="AD95">
            <v>4.5877525252525251</v>
          </cell>
          <cell r="AT95">
            <v>0</v>
          </cell>
          <cell r="AV95">
            <v>103.67815218037751</v>
          </cell>
        </row>
        <row r="96">
          <cell r="C96" t="str">
            <v>Custo Total (R$/Hora)</v>
          </cell>
          <cell r="D96"/>
          <cell r="E96"/>
          <cell r="F96">
            <v>36.981382756791078</v>
          </cell>
          <cell r="G96">
            <v>35.604079263915573</v>
          </cell>
          <cell r="H96">
            <v>19.164908030335017</v>
          </cell>
          <cell r="I96"/>
          <cell r="J96"/>
          <cell r="O96"/>
          <cell r="P96">
            <v>4.5877525252525251</v>
          </cell>
          <cell r="Q96"/>
          <cell r="R96"/>
          <cell r="S96"/>
          <cell r="T96"/>
          <cell r="U96"/>
          <cell r="V96"/>
          <cell r="W96"/>
          <cell r="X96"/>
          <cell r="Y96"/>
          <cell r="AB96"/>
          <cell r="AC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</row>
        <row r="97">
          <cell r="B97" t="str">
            <v>EQ30</v>
          </cell>
          <cell r="C97" t="str">
            <v>Quantidade</v>
          </cell>
          <cell r="G97">
            <v>1</v>
          </cell>
          <cell r="H97">
            <v>1</v>
          </cell>
          <cell r="K97">
            <v>54.768987294250593</v>
          </cell>
          <cell r="L97">
            <v>0.08</v>
          </cell>
          <cell r="M97">
            <v>4.3815189835400474</v>
          </cell>
          <cell r="N97">
            <v>59.15050627779064</v>
          </cell>
          <cell r="Y97">
            <v>1</v>
          </cell>
          <cell r="AD97">
            <v>52.119191919191913</v>
          </cell>
          <cell r="AT97">
            <v>0</v>
          </cell>
          <cell r="AV97">
            <v>111.26969819698255</v>
          </cell>
        </row>
        <row r="98">
          <cell r="C98" t="str">
            <v>Custo Total (R$/Hora)</v>
          </cell>
          <cell r="D98"/>
          <cell r="E98"/>
          <cell r="F98"/>
          <cell r="G98">
            <v>35.604079263915573</v>
          </cell>
          <cell r="H98">
            <v>19.164908030335017</v>
          </cell>
          <cell r="I98"/>
          <cell r="J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>
            <v>52.119191919191913</v>
          </cell>
          <cell r="AB98"/>
          <cell r="AC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</row>
        <row r="99">
          <cell r="B99" t="str">
            <v>EQ31</v>
          </cell>
          <cell r="C99" t="str">
            <v>Quantidade</v>
          </cell>
          <cell r="G99">
            <v>1</v>
          </cell>
          <cell r="H99">
            <v>1</v>
          </cell>
          <cell r="K99">
            <v>54.768987294250593</v>
          </cell>
          <cell r="L99">
            <v>0.08</v>
          </cell>
          <cell r="M99">
            <v>4.3815189835400474</v>
          </cell>
          <cell r="N99">
            <v>59.15050627779064</v>
          </cell>
          <cell r="X99">
            <v>1</v>
          </cell>
          <cell r="AD99">
            <v>22.620833333333334</v>
          </cell>
          <cell r="AT99">
            <v>0</v>
          </cell>
          <cell r="AV99">
            <v>81.771339611123977</v>
          </cell>
        </row>
        <row r="100">
          <cell r="C100" t="str">
            <v>Custo Total (R$/Hora)</v>
          </cell>
          <cell r="D100"/>
          <cell r="E100"/>
          <cell r="F100"/>
          <cell r="G100">
            <v>35.604079263915573</v>
          </cell>
          <cell r="H100">
            <v>19.164908030335017</v>
          </cell>
          <cell r="I100"/>
          <cell r="J100"/>
          <cell r="O100"/>
          <cell r="P100"/>
          <cell r="Q100"/>
          <cell r="R100"/>
          <cell r="S100"/>
          <cell r="T100"/>
          <cell r="U100"/>
          <cell r="V100"/>
          <cell r="W100"/>
          <cell r="X100">
            <v>22.620833333333334</v>
          </cell>
          <cell r="Y100"/>
          <cell r="AB100"/>
          <cell r="AC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</row>
        <row r="101">
          <cell r="B101" t="str">
            <v>EQ32</v>
          </cell>
          <cell r="C101" t="str">
            <v>Quantidade</v>
          </cell>
          <cell r="K101">
            <v>0</v>
          </cell>
          <cell r="L101">
            <v>0.08</v>
          </cell>
          <cell r="M101">
            <v>0</v>
          </cell>
          <cell r="N101">
            <v>0</v>
          </cell>
          <cell r="AD101">
            <v>0</v>
          </cell>
          <cell r="AT101">
            <v>0</v>
          </cell>
          <cell r="AV101">
            <v>0</v>
          </cell>
        </row>
        <row r="102">
          <cell r="C102" t="str">
            <v>Custo Total (R$/Hora)</v>
          </cell>
          <cell r="D102"/>
          <cell r="E102"/>
          <cell r="F102"/>
          <cell r="G102"/>
          <cell r="H102"/>
          <cell r="I102"/>
          <cell r="J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AB102"/>
          <cell r="AC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</row>
        <row r="105">
          <cell r="B105" t="str">
            <v>EQUIPES COM TURNO</v>
          </cell>
          <cell r="C105" t="str">
            <v>Custo Unitário 6h (R$/Hora)</v>
          </cell>
          <cell r="D105">
            <v>52.209446092530392</v>
          </cell>
          <cell r="E105">
            <v>52.209446092530392</v>
          </cell>
          <cell r="F105">
            <v>46.226728445988854</v>
          </cell>
          <cell r="G105">
            <v>44.505099079894464</v>
          </cell>
          <cell r="H105">
            <v>23.95613503791877</v>
          </cell>
          <cell r="I105">
            <v>79.917436176329048</v>
          </cell>
          <cell r="J105">
            <v>122.94655401402721</v>
          </cell>
          <cell r="K105" t="str">
            <v>Mão de Obra</v>
          </cell>
          <cell r="L105" t="str">
            <v>% EPI + EPC</v>
          </cell>
          <cell r="M105" t="str">
            <v>Custo EPI + EPC</v>
          </cell>
          <cell r="N105" t="str">
            <v>Mão de Obra Total</v>
          </cell>
          <cell r="O105">
            <v>4.4077525252525254</v>
          </cell>
          <cell r="P105">
            <v>4.5877525252525251</v>
          </cell>
          <cell r="Q105">
            <v>5.955303030303031</v>
          </cell>
          <cell r="R105">
            <v>6.7662878787878791</v>
          </cell>
          <cell r="S105">
            <v>12.267676767676768</v>
          </cell>
          <cell r="T105">
            <v>21.484848484848484</v>
          </cell>
          <cell r="U105">
            <v>11.052727272727273</v>
          </cell>
          <cell r="V105">
            <v>2.2656969696969695</v>
          </cell>
          <cell r="W105">
            <v>1.0097676767676769</v>
          </cell>
          <cell r="X105">
            <v>22.620833333333334</v>
          </cell>
          <cell r="Y105">
            <v>52.119191919191913</v>
          </cell>
          <cell r="Z105">
            <v>45.719191919191914</v>
          </cell>
          <cell r="AA105">
            <v>0</v>
          </cell>
          <cell r="AB105">
            <v>0</v>
          </cell>
          <cell r="AC105">
            <v>0</v>
          </cell>
          <cell r="AD105" t="str">
            <v>Veículo</v>
          </cell>
          <cell r="AE105">
            <v>0.51491820377689945</v>
          </cell>
          <cell r="AF105">
            <v>2.6654589371980677</v>
          </cell>
          <cell r="AG105">
            <v>24.231444883618799</v>
          </cell>
          <cell r="AH105">
            <v>28.774840799297323</v>
          </cell>
          <cell r="AI105">
            <v>51.491820377689947</v>
          </cell>
          <cell r="AJ105">
            <v>9.9954710144927539</v>
          </cell>
          <cell r="AK105">
            <v>19.990942028985508</v>
          </cell>
          <cell r="AL105">
            <v>3.6347167325428191E-2</v>
          </cell>
          <cell r="AM105">
            <v>0</v>
          </cell>
          <cell r="AN105">
            <v>18.779369784804569</v>
          </cell>
          <cell r="AO105">
            <v>6.0578612209046998</v>
          </cell>
          <cell r="AP105">
            <v>18.173583662714098</v>
          </cell>
          <cell r="AQ105">
            <v>11.509936319718928</v>
          </cell>
          <cell r="AR105">
            <v>3.0289306104523499</v>
          </cell>
          <cell r="AS105">
            <v>0</v>
          </cell>
          <cell r="AT105" t="str">
            <v>Máquinas</v>
          </cell>
          <cell r="AV105" t="str">
            <v>EQUIPE</v>
          </cell>
        </row>
      </sheetData>
      <sheetData sheetId="4">
        <row r="13">
          <cell r="C13" t="str">
            <v>Veículo Leve Administrativo</v>
          </cell>
          <cell r="D13">
            <v>25000</v>
          </cell>
          <cell r="E13">
            <v>0</v>
          </cell>
          <cell r="F13">
            <v>0</v>
          </cell>
          <cell r="G13">
            <v>4</v>
          </cell>
          <cell r="H13">
            <v>5</v>
          </cell>
          <cell r="I13">
            <v>22000</v>
          </cell>
          <cell r="J13">
            <v>15</v>
          </cell>
          <cell r="K13" t="str">
            <v>Gasolina</v>
          </cell>
          <cell r="L13">
            <v>2.7</v>
          </cell>
          <cell r="M13">
            <v>0.05</v>
          </cell>
          <cell r="N13">
            <v>0.06</v>
          </cell>
          <cell r="O13">
            <v>3000</v>
          </cell>
          <cell r="Q13">
            <v>3960.0000000000005</v>
          </cell>
          <cell r="R13">
            <v>1250</v>
          </cell>
          <cell r="S13">
            <v>1500</v>
          </cell>
          <cell r="T13">
            <v>6513.257575757576</v>
          </cell>
          <cell r="U13">
            <v>13223.257575757576</v>
          </cell>
          <cell r="V13">
            <v>1101.9381313131314</v>
          </cell>
          <cell r="W13">
            <v>4.4077525252525254</v>
          </cell>
        </row>
        <row r="14">
          <cell r="C14" t="str">
            <v>Veículo Leve Operacional</v>
          </cell>
          <cell r="D14">
            <v>25000</v>
          </cell>
          <cell r="E14">
            <v>0</v>
          </cell>
          <cell r="F14">
            <v>0</v>
          </cell>
          <cell r="G14">
            <v>4</v>
          </cell>
          <cell r="H14">
            <v>5</v>
          </cell>
          <cell r="I14">
            <v>25000</v>
          </cell>
          <cell r="J14">
            <v>15</v>
          </cell>
          <cell r="K14" t="str">
            <v>Gasolina</v>
          </cell>
          <cell r="L14">
            <v>2.7</v>
          </cell>
          <cell r="M14">
            <v>0.05</v>
          </cell>
          <cell r="N14">
            <v>0.06</v>
          </cell>
          <cell r="O14">
            <v>3000</v>
          </cell>
          <cell r="Q14">
            <v>4500.0000000000009</v>
          </cell>
          <cell r="R14">
            <v>1250</v>
          </cell>
          <cell r="S14">
            <v>1500</v>
          </cell>
          <cell r="T14">
            <v>6513.257575757576</v>
          </cell>
          <cell r="U14">
            <v>13763.257575757576</v>
          </cell>
          <cell r="V14">
            <v>1146.9381313131314</v>
          </cell>
          <cell r="W14">
            <v>4.5877525252525251</v>
          </cell>
        </row>
        <row r="15">
          <cell r="C15" t="str">
            <v>Veículo Leve tipo Pick-Up</v>
          </cell>
          <cell r="D15">
            <v>30000</v>
          </cell>
          <cell r="E15">
            <v>0</v>
          </cell>
          <cell r="F15">
            <v>0</v>
          </cell>
          <cell r="G15">
            <v>2</v>
          </cell>
          <cell r="H15">
            <v>5</v>
          </cell>
          <cell r="I15">
            <v>25000</v>
          </cell>
          <cell r="J15">
            <v>10</v>
          </cell>
          <cell r="K15" t="str">
            <v>Gasolina</v>
          </cell>
          <cell r="L15">
            <v>2.7</v>
          </cell>
          <cell r="M15">
            <v>0.05</v>
          </cell>
          <cell r="N15">
            <v>0.06</v>
          </cell>
          <cell r="O15">
            <v>3000</v>
          </cell>
          <cell r="Q15">
            <v>6750</v>
          </cell>
          <cell r="R15">
            <v>1500</v>
          </cell>
          <cell r="S15">
            <v>1800</v>
          </cell>
          <cell r="T15">
            <v>7815.909090909091</v>
          </cell>
          <cell r="U15">
            <v>17865.909090909092</v>
          </cell>
          <cell r="V15">
            <v>1488.8257575757577</v>
          </cell>
          <cell r="W15">
            <v>5.955303030303031</v>
          </cell>
        </row>
        <row r="16">
          <cell r="C16" t="str">
            <v>Veículo Médio tipo Pick-Up</v>
          </cell>
          <cell r="D16">
            <v>45000</v>
          </cell>
          <cell r="E16">
            <v>0</v>
          </cell>
          <cell r="F16">
            <v>0</v>
          </cell>
          <cell r="G16">
            <v>2</v>
          </cell>
          <cell r="H16">
            <v>8</v>
          </cell>
          <cell r="I16">
            <v>20000</v>
          </cell>
          <cell r="J16">
            <v>8</v>
          </cell>
          <cell r="K16" t="str">
            <v>Diesel</v>
          </cell>
          <cell r="L16">
            <v>1.9</v>
          </cell>
          <cell r="M16">
            <v>0.1</v>
          </cell>
          <cell r="N16">
            <v>0.06</v>
          </cell>
          <cell r="O16">
            <v>3000</v>
          </cell>
          <cell r="Q16">
            <v>4750</v>
          </cell>
          <cell r="R16">
            <v>4500</v>
          </cell>
          <cell r="S16">
            <v>2700</v>
          </cell>
          <cell r="T16">
            <v>8348.863636363636</v>
          </cell>
          <cell r="U16">
            <v>20298.863636363636</v>
          </cell>
          <cell r="V16">
            <v>1691.5719696969697</v>
          </cell>
          <cell r="W16">
            <v>6.7662878787878791</v>
          </cell>
        </row>
        <row r="17">
          <cell r="C17" t="str">
            <v>Caminhão Leve</v>
          </cell>
          <cell r="D17">
            <v>100000</v>
          </cell>
          <cell r="E17">
            <v>0</v>
          </cell>
          <cell r="F17">
            <v>0</v>
          </cell>
          <cell r="G17">
            <v>3</v>
          </cell>
          <cell r="H17">
            <v>10</v>
          </cell>
          <cell r="I17">
            <v>15000</v>
          </cell>
          <cell r="J17">
            <v>6</v>
          </cell>
          <cell r="K17" t="str">
            <v>Diesel</v>
          </cell>
          <cell r="L17">
            <v>1.9</v>
          </cell>
          <cell r="M17">
            <v>0.1</v>
          </cell>
          <cell r="N17">
            <v>0.06</v>
          </cell>
          <cell r="O17">
            <v>3000</v>
          </cell>
          <cell r="Q17">
            <v>4750</v>
          </cell>
          <cell r="R17">
            <v>10000</v>
          </cell>
          <cell r="S17">
            <v>6000</v>
          </cell>
          <cell r="T17">
            <v>16053.030303030304</v>
          </cell>
          <cell r="U17">
            <v>36803.030303030304</v>
          </cell>
          <cell r="V17">
            <v>3066.9191919191921</v>
          </cell>
          <cell r="W17">
            <v>12.267676767676768</v>
          </cell>
        </row>
        <row r="18">
          <cell r="C18" t="str">
            <v>Caminhão Pesado</v>
          </cell>
          <cell r="D18">
            <v>150000</v>
          </cell>
          <cell r="E18">
            <v>0</v>
          </cell>
          <cell r="F18">
            <v>0</v>
          </cell>
          <cell r="G18">
            <v>3</v>
          </cell>
          <cell r="H18">
            <v>15</v>
          </cell>
          <cell r="I18">
            <v>45000</v>
          </cell>
          <cell r="J18">
            <v>4</v>
          </cell>
          <cell r="K18" t="str">
            <v>Diesel</v>
          </cell>
          <cell r="L18">
            <v>1.9</v>
          </cell>
          <cell r="M18">
            <v>0.1</v>
          </cell>
          <cell r="N18">
            <v>0.06</v>
          </cell>
          <cell r="O18">
            <v>3000</v>
          </cell>
          <cell r="Q18">
            <v>21375</v>
          </cell>
          <cell r="R18">
            <v>15000</v>
          </cell>
          <cell r="S18">
            <v>9000</v>
          </cell>
          <cell r="T18">
            <v>19079.545454545456</v>
          </cell>
          <cell r="U18">
            <v>64454.545454545456</v>
          </cell>
          <cell r="V18">
            <v>5371.212121212121</v>
          </cell>
          <cell r="W18">
            <v>21.484848484848484</v>
          </cell>
        </row>
        <row r="19">
          <cell r="C19" t="str">
            <v>Utilitário - Van</v>
          </cell>
          <cell r="D19">
            <v>45000</v>
          </cell>
          <cell r="E19">
            <v>0</v>
          </cell>
          <cell r="F19">
            <v>0</v>
          </cell>
          <cell r="G19">
            <v>10</v>
          </cell>
          <cell r="H19">
            <v>5</v>
          </cell>
          <cell r="I19">
            <v>15000</v>
          </cell>
          <cell r="J19">
            <v>10</v>
          </cell>
          <cell r="K19" t="str">
            <v>Gasolina</v>
          </cell>
          <cell r="L19">
            <v>2.7</v>
          </cell>
          <cell r="M19">
            <v>0.05</v>
          </cell>
          <cell r="N19">
            <v>0.06</v>
          </cell>
          <cell r="O19">
            <v>1875</v>
          </cell>
          <cell r="Q19">
            <v>4050.0000000000005</v>
          </cell>
          <cell r="R19">
            <v>2250</v>
          </cell>
          <cell r="S19">
            <v>2700</v>
          </cell>
          <cell r="T19">
            <v>11723.863636363636</v>
          </cell>
          <cell r="U19">
            <v>20723.863636363636</v>
          </cell>
          <cell r="V19">
            <v>1726.9886363636363</v>
          </cell>
          <cell r="W19">
            <v>11.052727272727273</v>
          </cell>
        </row>
        <row r="20">
          <cell r="C20" t="str">
            <v>Motocicleta</v>
          </cell>
          <cell r="D20">
            <v>6000</v>
          </cell>
          <cell r="E20">
            <v>0</v>
          </cell>
          <cell r="F20">
            <v>0</v>
          </cell>
          <cell r="G20">
            <v>1</v>
          </cell>
          <cell r="H20">
            <v>5</v>
          </cell>
          <cell r="I20">
            <v>30000</v>
          </cell>
          <cell r="J20">
            <v>40</v>
          </cell>
          <cell r="K20" t="str">
            <v>Gasolina</v>
          </cell>
          <cell r="L20">
            <v>2.7</v>
          </cell>
          <cell r="M20">
            <v>0.05</v>
          </cell>
          <cell r="N20">
            <v>0.06</v>
          </cell>
          <cell r="O20">
            <v>1875</v>
          </cell>
          <cell r="Q20">
            <v>2025.0000000000002</v>
          </cell>
          <cell r="R20">
            <v>300</v>
          </cell>
          <cell r="S20">
            <v>360</v>
          </cell>
          <cell r="T20">
            <v>1563.1818181818182</v>
          </cell>
          <cell r="U20">
            <v>4248.181818181818</v>
          </cell>
          <cell r="V20">
            <v>354.0151515151515</v>
          </cell>
          <cell r="W20">
            <v>2.2656969696969695</v>
          </cell>
        </row>
        <row r="21">
          <cell r="C21" t="str">
            <v>Lancha</v>
          </cell>
          <cell r="D21">
            <v>10000</v>
          </cell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1200</v>
          </cell>
          <cell r="J21">
            <v>10</v>
          </cell>
          <cell r="K21" t="str">
            <v>Gasolina</v>
          </cell>
          <cell r="L21">
            <v>2.7</v>
          </cell>
          <cell r="M21">
            <v>0.05</v>
          </cell>
          <cell r="N21">
            <v>0.06</v>
          </cell>
          <cell r="O21">
            <v>3000</v>
          </cell>
          <cell r="Q21">
            <v>324</v>
          </cell>
          <cell r="R21">
            <v>500</v>
          </cell>
          <cell r="S21">
            <v>600</v>
          </cell>
          <cell r="T21">
            <v>1605.3030303030305</v>
          </cell>
          <cell r="U21">
            <v>3029.3030303030305</v>
          </cell>
          <cell r="V21">
            <v>252.4419191919192</v>
          </cell>
          <cell r="W21">
            <v>1.0097676767676769</v>
          </cell>
        </row>
        <row r="22">
          <cell r="C22" t="str">
            <v>Caminhão Basculante</v>
          </cell>
          <cell r="D22">
            <v>150000</v>
          </cell>
          <cell r="E22">
            <v>15000</v>
          </cell>
          <cell r="F22">
            <v>0</v>
          </cell>
          <cell r="G22">
            <v>3</v>
          </cell>
          <cell r="H22">
            <v>15</v>
          </cell>
          <cell r="I22">
            <v>45000</v>
          </cell>
          <cell r="J22">
            <v>4</v>
          </cell>
          <cell r="K22" t="str">
            <v>Diesel</v>
          </cell>
          <cell r="L22">
            <v>1.9</v>
          </cell>
          <cell r="M22">
            <v>0.1</v>
          </cell>
          <cell r="N22">
            <v>0.06</v>
          </cell>
          <cell r="O22">
            <v>3000</v>
          </cell>
          <cell r="Q22">
            <v>21375</v>
          </cell>
          <cell r="R22">
            <v>16500</v>
          </cell>
          <cell r="S22">
            <v>9000</v>
          </cell>
          <cell r="T22">
            <v>20987.5</v>
          </cell>
          <cell r="U22">
            <v>67862.5</v>
          </cell>
          <cell r="V22">
            <v>5655.208333333333</v>
          </cell>
          <cell r="W22">
            <v>22.620833333333334</v>
          </cell>
        </row>
        <row r="23">
          <cell r="C23" t="str">
            <v>Caminhão Munck</v>
          </cell>
          <cell r="D23">
            <v>470000</v>
          </cell>
          <cell r="E23">
            <v>0</v>
          </cell>
          <cell r="F23">
            <v>0</v>
          </cell>
          <cell r="G23">
            <v>3</v>
          </cell>
          <cell r="H23">
            <v>15</v>
          </cell>
          <cell r="I23">
            <v>45000</v>
          </cell>
          <cell r="J23">
            <v>4</v>
          </cell>
          <cell r="K23" t="str">
            <v>Diesel</v>
          </cell>
          <cell r="L23">
            <v>1.9</v>
          </cell>
          <cell r="M23">
            <v>0.1</v>
          </cell>
          <cell r="N23">
            <v>0.06</v>
          </cell>
          <cell r="O23">
            <v>3000</v>
          </cell>
          <cell r="Q23">
            <v>21375</v>
          </cell>
          <cell r="R23">
            <v>47000</v>
          </cell>
          <cell r="S23">
            <v>28200</v>
          </cell>
          <cell r="T23">
            <v>59782.57575757576</v>
          </cell>
          <cell r="U23">
            <v>156357.57575757575</v>
          </cell>
          <cell r="V23">
            <v>13029.797979797979</v>
          </cell>
          <cell r="W23">
            <v>52.119191919191913</v>
          </cell>
        </row>
        <row r="24">
          <cell r="C24" t="str">
            <v>Caminhão Pipa</v>
          </cell>
          <cell r="D24">
            <v>150000</v>
          </cell>
          <cell r="E24">
            <v>320000</v>
          </cell>
          <cell r="F24">
            <v>0</v>
          </cell>
          <cell r="G24">
            <v>3</v>
          </cell>
          <cell r="H24">
            <v>15</v>
          </cell>
          <cell r="I24">
            <v>45000</v>
          </cell>
          <cell r="J24">
            <v>4</v>
          </cell>
          <cell r="K24" t="str">
            <v>Diesel</v>
          </cell>
          <cell r="L24">
            <v>1.9</v>
          </cell>
          <cell r="M24">
            <v>0.1</v>
          </cell>
          <cell r="N24">
            <v>0.06</v>
          </cell>
          <cell r="O24">
            <v>3000</v>
          </cell>
          <cell r="Q24">
            <v>21375</v>
          </cell>
          <cell r="R24">
            <v>47000</v>
          </cell>
          <cell r="S24">
            <v>9000</v>
          </cell>
          <cell r="T24">
            <v>59782.57575757576</v>
          </cell>
          <cell r="U24">
            <v>137157.57575757575</v>
          </cell>
          <cell r="V24">
            <v>11429.797979797979</v>
          </cell>
          <cell r="W24">
            <v>45.719191919191914</v>
          </cell>
        </row>
        <row r="25">
          <cell r="E25">
            <v>0</v>
          </cell>
          <cell r="F25">
            <v>0</v>
          </cell>
          <cell r="L25">
            <v>0</v>
          </cell>
          <cell r="O25">
            <v>3000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E26">
            <v>0</v>
          </cell>
          <cell r="F26">
            <v>0</v>
          </cell>
          <cell r="L26">
            <v>0</v>
          </cell>
          <cell r="O26">
            <v>3000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E27">
            <v>0</v>
          </cell>
          <cell r="F27">
            <v>0</v>
          </cell>
          <cell r="L27">
            <v>0</v>
          </cell>
          <cell r="O27">
            <v>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33">
          <cell r="C33" t="str">
            <v>Compressor</v>
          </cell>
          <cell r="D33">
            <v>8500</v>
          </cell>
          <cell r="E33">
            <v>0</v>
          </cell>
          <cell r="F33">
            <v>0</v>
          </cell>
          <cell r="H33">
            <v>15</v>
          </cell>
          <cell r="L33">
            <v>0</v>
          </cell>
          <cell r="M33">
            <v>0.03</v>
          </cell>
          <cell r="N33">
            <v>0.01</v>
          </cell>
          <cell r="O33">
            <v>2760</v>
          </cell>
          <cell r="Q33">
            <v>0</v>
          </cell>
          <cell r="R33">
            <v>255</v>
          </cell>
          <cell r="S33">
            <v>85</v>
          </cell>
          <cell r="T33">
            <v>1081.1742424242425</v>
          </cell>
          <cell r="U33">
            <v>1421.1742424242425</v>
          </cell>
          <cell r="V33">
            <v>118.43118686868688</v>
          </cell>
          <cell r="W33">
            <v>0.51491820377689945</v>
          </cell>
        </row>
        <row r="34">
          <cell r="C34" t="str">
            <v>Empilhadeira</v>
          </cell>
          <cell r="D34">
            <v>44000</v>
          </cell>
          <cell r="E34">
            <v>0</v>
          </cell>
          <cell r="F34">
            <v>0</v>
          </cell>
          <cell r="H34">
            <v>15</v>
          </cell>
          <cell r="L34">
            <v>0</v>
          </cell>
          <cell r="M34">
            <v>0.03</v>
          </cell>
          <cell r="N34">
            <v>0.01</v>
          </cell>
          <cell r="O34">
            <v>2760</v>
          </cell>
          <cell r="Q34">
            <v>0</v>
          </cell>
          <cell r="R34">
            <v>1320</v>
          </cell>
          <cell r="S34">
            <v>440</v>
          </cell>
          <cell r="T34">
            <v>5596.666666666667</v>
          </cell>
          <cell r="U34">
            <v>7356.666666666667</v>
          </cell>
          <cell r="V34">
            <v>613.05555555555554</v>
          </cell>
          <cell r="W34">
            <v>2.6654589371980677</v>
          </cell>
        </row>
        <row r="35">
          <cell r="C35" t="str">
            <v>Equipamento de Jato - Desobstrutor</v>
          </cell>
          <cell r="D35">
            <v>400000</v>
          </cell>
          <cell r="E35">
            <v>0</v>
          </cell>
          <cell r="F35">
            <v>0</v>
          </cell>
          <cell r="H35">
            <v>15</v>
          </cell>
          <cell r="L35">
            <v>0</v>
          </cell>
          <cell r="M35">
            <v>0.03</v>
          </cell>
          <cell r="N35">
            <v>0.01</v>
          </cell>
          <cell r="O35">
            <v>2760</v>
          </cell>
          <cell r="Q35">
            <v>0</v>
          </cell>
          <cell r="R35">
            <v>12000</v>
          </cell>
          <cell r="S35">
            <v>4000</v>
          </cell>
          <cell r="T35">
            <v>50878.787878787887</v>
          </cell>
          <cell r="U35">
            <v>66878.787878787887</v>
          </cell>
          <cell r="V35">
            <v>5573.2323232323242</v>
          </cell>
          <cell r="W35">
            <v>24.231444883618799</v>
          </cell>
        </row>
        <row r="36">
          <cell r="C36" t="str">
            <v>Escavadeira</v>
          </cell>
          <cell r="D36">
            <v>475000</v>
          </cell>
          <cell r="E36">
            <v>0</v>
          </cell>
          <cell r="F36">
            <v>0</v>
          </cell>
          <cell r="H36">
            <v>15</v>
          </cell>
          <cell r="L36">
            <v>0</v>
          </cell>
          <cell r="M36">
            <v>0.03</v>
          </cell>
          <cell r="N36">
            <v>0.01</v>
          </cell>
          <cell r="O36">
            <v>2760</v>
          </cell>
          <cell r="Q36">
            <v>0</v>
          </cell>
          <cell r="R36">
            <v>14250</v>
          </cell>
          <cell r="S36">
            <v>4750</v>
          </cell>
          <cell r="T36">
            <v>60418.560606060608</v>
          </cell>
          <cell r="U36">
            <v>79418.560606060608</v>
          </cell>
          <cell r="V36">
            <v>6618.2133838383843</v>
          </cell>
          <cell r="W36">
            <v>28.774840799297323</v>
          </cell>
        </row>
        <row r="37">
          <cell r="C37" t="str">
            <v>Guindaste</v>
          </cell>
          <cell r="D37">
            <v>850000</v>
          </cell>
          <cell r="E37">
            <v>0</v>
          </cell>
          <cell r="F37">
            <v>0</v>
          </cell>
          <cell r="H37">
            <v>15</v>
          </cell>
          <cell r="L37">
            <v>0</v>
          </cell>
          <cell r="M37">
            <v>0.03</v>
          </cell>
          <cell r="N37">
            <v>0.01</v>
          </cell>
          <cell r="O37">
            <v>2760</v>
          </cell>
          <cell r="Q37">
            <v>0</v>
          </cell>
          <cell r="R37">
            <v>25500</v>
          </cell>
          <cell r="S37">
            <v>8500</v>
          </cell>
          <cell r="T37">
            <v>108117.42424242425</v>
          </cell>
          <cell r="U37">
            <v>142117.42424242425</v>
          </cell>
          <cell r="V37">
            <v>11843.118686868687</v>
          </cell>
          <cell r="W37">
            <v>51.491820377689947</v>
          </cell>
        </row>
        <row r="38">
          <cell r="C38" t="str">
            <v>Maquina de Cortar Asfalto</v>
          </cell>
          <cell r="D38">
            <v>165000</v>
          </cell>
          <cell r="E38">
            <v>0</v>
          </cell>
          <cell r="F38">
            <v>0</v>
          </cell>
          <cell r="H38">
            <v>15</v>
          </cell>
          <cell r="L38">
            <v>0</v>
          </cell>
          <cell r="M38">
            <v>0.03</v>
          </cell>
          <cell r="N38">
            <v>0.01</v>
          </cell>
          <cell r="O38">
            <v>2760</v>
          </cell>
          <cell r="Q38">
            <v>0</v>
          </cell>
          <cell r="R38">
            <v>4950</v>
          </cell>
          <cell r="S38">
            <v>1650</v>
          </cell>
          <cell r="T38">
            <v>20987.5</v>
          </cell>
          <cell r="U38">
            <v>27587.5</v>
          </cell>
          <cell r="V38">
            <v>2298.9583333333335</v>
          </cell>
          <cell r="W38">
            <v>9.9954710144927539</v>
          </cell>
        </row>
        <row r="39">
          <cell r="C39" t="str">
            <v>Motoniveladora</v>
          </cell>
          <cell r="D39">
            <v>330000</v>
          </cell>
          <cell r="E39">
            <v>0</v>
          </cell>
          <cell r="F39">
            <v>0</v>
          </cell>
          <cell r="H39">
            <v>15</v>
          </cell>
          <cell r="L39">
            <v>0</v>
          </cell>
          <cell r="M39">
            <v>0.03</v>
          </cell>
          <cell r="N39">
            <v>0.01</v>
          </cell>
          <cell r="O39">
            <v>2760</v>
          </cell>
          <cell r="Q39">
            <v>0</v>
          </cell>
          <cell r="R39">
            <v>9900</v>
          </cell>
          <cell r="S39">
            <v>3300</v>
          </cell>
          <cell r="T39">
            <v>41975</v>
          </cell>
          <cell r="U39">
            <v>55175</v>
          </cell>
          <cell r="V39">
            <v>4597.916666666667</v>
          </cell>
          <cell r="W39">
            <v>19.990942028985508</v>
          </cell>
        </row>
        <row r="40">
          <cell r="C40" t="str">
            <v>Motor Estacionario</v>
          </cell>
          <cell r="D40">
            <v>600</v>
          </cell>
          <cell r="E40">
            <v>0</v>
          </cell>
          <cell r="F40">
            <v>0</v>
          </cell>
          <cell r="H40">
            <v>15</v>
          </cell>
          <cell r="L40">
            <v>0</v>
          </cell>
          <cell r="M40">
            <v>0.03</v>
          </cell>
          <cell r="N40">
            <v>0.01</v>
          </cell>
          <cell r="O40">
            <v>2760</v>
          </cell>
          <cell r="Q40">
            <v>0</v>
          </cell>
          <cell r="R40">
            <v>18</v>
          </cell>
          <cell r="S40">
            <v>6</v>
          </cell>
          <cell r="T40">
            <v>76.318181818181813</v>
          </cell>
          <cell r="U40">
            <v>100.31818181818181</v>
          </cell>
          <cell r="V40">
            <v>8.3598484848484844</v>
          </cell>
          <cell r="W40">
            <v>3.6347167325428191E-2</v>
          </cell>
        </row>
        <row r="41">
          <cell r="C41" t="str">
            <v>Plataforma</v>
          </cell>
          <cell r="E41">
            <v>0</v>
          </cell>
          <cell r="F41">
            <v>0</v>
          </cell>
          <cell r="L41">
            <v>0</v>
          </cell>
          <cell r="M41">
            <v>0.03</v>
          </cell>
          <cell r="N41">
            <v>0.01</v>
          </cell>
          <cell r="O41">
            <v>2760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C42" t="str">
            <v>Retroescavadeira</v>
          </cell>
          <cell r="D42">
            <v>310000</v>
          </cell>
          <cell r="E42">
            <v>0</v>
          </cell>
          <cell r="F42">
            <v>0</v>
          </cell>
          <cell r="H42">
            <v>15</v>
          </cell>
          <cell r="L42">
            <v>0</v>
          </cell>
          <cell r="M42">
            <v>0.03</v>
          </cell>
          <cell r="N42">
            <v>0.01</v>
          </cell>
          <cell r="O42">
            <v>2760</v>
          </cell>
          <cell r="Q42">
            <v>0</v>
          </cell>
          <cell r="R42">
            <v>9300</v>
          </cell>
          <cell r="S42">
            <v>3100</v>
          </cell>
          <cell r="T42">
            <v>39431.060606060608</v>
          </cell>
          <cell r="U42">
            <v>51831.060606060608</v>
          </cell>
          <cell r="V42">
            <v>4319.2550505050503</v>
          </cell>
          <cell r="W42">
            <v>18.779369784804569</v>
          </cell>
        </row>
        <row r="43">
          <cell r="C43" t="str">
            <v>Trator</v>
          </cell>
          <cell r="D43">
            <v>100000</v>
          </cell>
          <cell r="E43">
            <v>0</v>
          </cell>
          <cell r="F43">
            <v>0</v>
          </cell>
          <cell r="H43">
            <v>15</v>
          </cell>
          <cell r="L43">
            <v>0</v>
          </cell>
          <cell r="M43">
            <v>0.03</v>
          </cell>
          <cell r="N43">
            <v>0.01</v>
          </cell>
          <cell r="O43">
            <v>2760</v>
          </cell>
          <cell r="Q43">
            <v>0</v>
          </cell>
          <cell r="R43">
            <v>3000</v>
          </cell>
          <cell r="S43">
            <v>1000</v>
          </cell>
          <cell r="T43">
            <v>12719.696969696972</v>
          </cell>
          <cell r="U43">
            <v>16719.696969696972</v>
          </cell>
          <cell r="V43">
            <v>1393.3080808080811</v>
          </cell>
          <cell r="W43">
            <v>6.0578612209046998</v>
          </cell>
        </row>
        <row r="44">
          <cell r="C44" t="str">
            <v>Trator Esteira</v>
          </cell>
          <cell r="D44">
            <v>300000</v>
          </cell>
          <cell r="E44">
            <v>0</v>
          </cell>
          <cell r="F44">
            <v>0</v>
          </cell>
          <cell r="H44">
            <v>15</v>
          </cell>
          <cell r="L44">
            <v>0</v>
          </cell>
          <cell r="M44">
            <v>0.03</v>
          </cell>
          <cell r="N44">
            <v>0.01</v>
          </cell>
          <cell r="O44">
            <v>2760</v>
          </cell>
          <cell r="Q44">
            <v>0</v>
          </cell>
          <cell r="R44">
            <v>9000</v>
          </cell>
          <cell r="S44">
            <v>3000</v>
          </cell>
          <cell r="T44">
            <v>38159.090909090912</v>
          </cell>
          <cell r="U44">
            <v>50159.090909090912</v>
          </cell>
          <cell r="V44">
            <v>4179.9242424242429</v>
          </cell>
          <cell r="W44">
            <v>18.173583662714098</v>
          </cell>
        </row>
        <row r="45">
          <cell r="C45" t="str">
            <v>Trator Roçadeira</v>
          </cell>
          <cell r="D45">
            <v>190000</v>
          </cell>
          <cell r="E45">
            <v>0</v>
          </cell>
          <cell r="F45">
            <v>0</v>
          </cell>
          <cell r="H45">
            <v>15</v>
          </cell>
          <cell r="L45">
            <v>0</v>
          </cell>
          <cell r="M45">
            <v>0.03</v>
          </cell>
          <cell r="N45">
            <v>0.01</v>
          </cell>
          <cell r="O45">
            <v>2760</v>
          </cell>
          <cell r="Q45">
            <v>0</v>
          </cell>
          <cell r="R45">
            <v>5700</v>
          </cell>
          <cell r="S45">
            <v>1900</v>
          </cell>
          <cell r="T45">
            <v>24167.424242424244</v>
          </cell>
          <cell r="U45">
            <v>31767.424242424244</v>
          </cell>
          <cell r="V45">
            <v>2647.2853535353538</v>
          </cell>
          <cell r="W45">
            <v>11.509936319718928</v>
          </cell>
        </row>
        <row r="46">
          <cell r="C46" t="str">
            <v>Caminhão Limpa Fossa</v>
          </cell>
          <cell r="D46">
            <v>50000</v>
          </cell>
          <cell r="E46">
            <v>0</v>
          </cell>
          <cell r="F46">
            <v>0</v>
          </cell>
          <cell r="H46">
            <v>15</v>
          </cell>
          <cell r="L46">
            <v>0</v>
          </cell>
          <cell r="M46">
            <v>0.03</v>
          </cell>
          <cell r="N46">
            <v>0.01</v>
          </cell>
          <cell r="O46">
            <v>2760</v>
          </cell>
          <cell r="Q46">
            <v>0</v>
          </cell>
          <cell r="R46">
            <v>1500</v>
          </cell>
          <cell r="S46">
            <v>500</v>
          </cell>
          <cell r="T46">
            <v>6359.8484848484859</v>
          </cell>
          <cell r="U46">
            <v>8359.8484848484859</v>
          </cell>
          <cell r="V46">
            <v>696.65404040404053</v>
          </cell>
          <cell r="W46">
            <v>3.0289306104523499</v>
          </cell>
        </row>
        <row r="47">
          <cell r="E47">
            <v>0</v>
          </cell>
          <cell r="F47">
            <v>0</v>
          </cell>
          <cell r="L47">
            <v>0</v>
          </cell>
          <cell r="M47">
            <v>0.03</v>
          </cell>
          <cell r="N47">
            <v>0.01</v>
          </cell>
          <cell r="O47">
            <v>2760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</sheetData>
      <sheetData sheetId="5">
        <row r="457">
          <cell r="D457">
            <v>10</v>
          </cell>
        </row>
        <row r="458">
          <cell r="D458">
            <v>0.95</v>
          </cell>
        </row>
      </sheetData>
      <sheetData sheetId="6">
        <row r="9">
          <cell r="D9">
            <v>16.821443846765277</v>
          </cell>
          <cell r="I9">
            <v>12.5</v>
          </cell>
        </row>
        <row r="10">
          <cell r="D10">
            <v>9.387105</v>
          </cell>
          <cell r="I10">
            <v>9.387105</v>
          </cell>
        </row>
        <row r="11">
          <cell r="D11">
            <v>9.387105</v>
          </cell>
        </row>
        <row r="12">
          <cell r="D12">
            <v>9.387105</v>
          </cell>
          <cell r="I12">
            <v>10</v>
          </cell>
        </row>
        <row r="13">
          <cell r="D13">
            <v>10</v>
          </cell>
          <cell r="I13">
            <v>10</v>
          </cell>
        </row>
        <row r="14">
          <cell r="D14">
            <v>5</v>
          </cell>
        </row>
        <row r="15">
          <cell r="D15">
            <v>2.4488099999999999</v>
          </cell>
          <cell r="I15">
            <v>10</v>
          </cell>
        </row>
        <row r="16">
          <cell r="D16">
            <v>6.4135499999999999</v>
          </cell>
          <cell r="I16">
            <v>10</v>
          </cell>
        </row>
        <row r="17">
          <cell r="D17">
            <v>147.25972741978148</v>
          </cell>
        </row>
        <row r="18">
          <cell r="D18">
            <v>68.109899858415858</v>
          </cell>
        </row>
        <row r="19">
          <cell r="D19">
            <v>33.765986229574423</v>
          </cell>
        </row>
        <row r="20">
          <cell r="D20">
            <v>0.05</v>
          </cell>
        </row>
        <row r="21">
          <cell r="D21">
            <v>50</v>
          </cell>
        </row>
        <row r="22">
          <cell r="D22">
            <v>100</v>
          </cell>
        </row>
        <row r="23">
          <cell r="D23">
            <v>6</v>
          </cell>
        </row>
        <row r="33">
          <cell r="E33">
            <v>8</v>
          </cell>
        </row>
        <row r="34">
          <cell r="E34">
            <v>8</v>
          </cell>
        </row>
        <row r="35">
          <cell r="E35">
            <v>5</v>
          </cell>
        </row>
        <row r="36">
          <cell r="E36">
            <v>5</v>
          </cell>
        </row>
        <row r="43">
          <cell r="D43">
            <v>1500</v>
          </cell>
        </row>
        <row r="44">
          <cell r="D44">
            <v>2500</v>
          </cell>
        </row>
      </sheetData>
      <sheetData sheetId="7">
        <row r="9">
          <cell r="C9" t="str">
            <v>Poli Aniônico (Agua)</v>
          </cell>
          <cell r="D9">
            <v>15.89</v>
          </cell>
        </row>
        <row r="10">
          <cell r="C10" t="str">
            <v>Carvão Ativado em Pó</v>
          </cell>
          <cell r="D10">
            <v>0</v>
          </cell>
        </row>
        <row r="11">
          <cell r="C11" t="str">
            <v>Permanganato de Potássio</v>
          </cell>
          <cell r="D11">
            <v>0</v>
          </cell>
        </row>
        <row r="12">
          <cell r="C12" t="str">
            <v>Cal Hidratada (Agua)</v>
          </cell>
          <cell r="D12">
            <v>0.30399999999999999</v>
          </cell>
        </row>
        <row r="13">
          <cell r="C13" t="str">
            <v>Cal Virgem (Agua)</v>
          </cell>
          <cell r="D13">
            <v>0.28100000000000003</v>
          </cell>
        </row>
        <row r="14">
          <cell r="C14" t="str">
            <v>Ácido Fluossilícico</v>
          </cell>
          <cell r="D14">
            <v>0.58099999999999996</v>
          </cell>
        </row>
        <row r="15">
          <cell r="C15" t="str">
            <v>Cloro Gasoso (ETA)</v>
          </cell>
          <cell r="D15">
            <v>3.93</v>
          </cell>
        </row>
        <row r="16">
          <cell r="C16" t="str">
            <v>Cloro Gasoso (UTS)</v>
          </cell>
          <cell r="D16">
            <v>4.5</v>
          </cell>
        </row>
        <row r="17">
          <cell r="C17" t="str">
            <v>Hipoclorito de Sódio</v>
          </cell>
          <cell r="D17">
            <v>1.77</v>
          </cell>
        </row>
        <row r="18">
          <cell r="C18" t="str">
            <v>Policloreto de Alumínio - PAC (Coagulante)</v>
          </cell>
          <cell r="D18">
            <v>1.399</v>
          </cell>
        </row>
        <row r="19">
          <cell r="C19" t="str">
            <v>Sulfato Al Liq. (Coagulante)</v>
          </cell>
          <cell r="D19">
            <v>0.51600000000000001</v>
          </cell>
        </row>
        <row r="20">
          <cell r="C20" t="str">
            <v>Carbonato de Sodio</v>
          </cell>
          <cell r="D20">
            <v>2.35</v>
          </cell>
        </row>
        <row r="21">
          <cell r="C21" t="str">
            <v>Fluorssilicato de Sódio</v>
          </cell>
          <cell r="D21">
            <v>2.4300000000000002</v>
          </cell>
        </row>
        <row r="22">
          <cell r="C22" t="str">
            <v>Tricloro</v>
          </cell>
          <cell r="D22">
            <v>12.6</v>
          </cell>
        </row>
        <row r="23">
          <cell r="C23" t="str">
            <v>Poli Prensa (Lodo)</v>
          </cell>
          <cell r="D23">
            <v>11.99</v>
          </cell>
        </row>
        <row r="24">
          <cell r="C24" t="str">
            <v>Poli Centrífuga (Lodo)</v>
          </cell>
          <cell r="D24">
            <v>11.74</v>
          </cell>
        </row>
        <row r="25">
          <cell r="C25" t="str">
            <v>Poli Aniônico (Esgoto)</v>
          </cell>
          <cell r="D25">
            <v>10.8</v>
          </cell>
        </row>
        <row r="26">
          <cell r="C26" t="str">
            <v>Sulfato Al (Coagulante)</v>
          </cell>
          <cell r="D26">
            <v>0.41</v>
          </cell>
        </row>
        <row r="27">
          <cell r="C27" t="str">
            <v>Cloreto Férrico (Coagulante)</v>
          </cell>
          <cell r="D27">
            <v>0.72</v>
          </cell>
        </row>
        <row r="28">
          <cell r="C28" t="str">
            <v>Cal (Esgoto)</v>
          </cell>
          <cell r="D28">
            <v>0.21</v>
          </cell>
        </row>
        <row r="29">
          <cell r="C29" t="str">
            <v>Clorocal</v>
          </cell>
          <cell r="D29">
            <v>2.95</v>
          </cell>
        </row>
        <row r="32">
          <cell r="D32">
            <v>15.1</v>
          </cell>
        </row>
        <row r="33">
          <cell r="D33">
            <v>0.2</v>
          </cell>
        </row>
        <row r="34">
          <cell r="D34">
            <v>15</v>
          </cell>
        </row>
        <row r="86">
          <cell r="J86">
            <v>0.49689394445730495</v>
          </cell>
        </row>
      </sheetData>
      <sheetData sheetId="8">
        <row r="8">
          <cell r="D8">
            <v>15.1</v>
          </cell>
        </row>
        <row r="9">
          <cell r="D9">
            <v>0.2</v>
          </cell>
        </row>
        <row r="10">
          <cell r="D10">
            <v>5</v>
          </cell>
        </row>
        <row r="176">
          <cell r="M176">
            <v>0.25023519583894582</v>
          </cell>
        </row>
      </sheetData>
      <sheetData sheetId="9"/>
      <sheetData sheetId="10">
        <row r="26">
          <cell r="J26">
            <v>496222</v>
          </cell>
          <cell r="L26">
            <v>6.1499999999999999E-2</v>
          </cell>
        </row>
        <row r="39">
          <cell r="J39">
            <v>402990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D9">
            <v>3319.1813750684933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E6">
            <v>5.0370069444444434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asa.df.gov.br/images/storage/audiencia_publica/002-2021/Nota_Tecnica_11_2021_COEE_SEF_ADASA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asa.df.gov.br/images/storage/legislacao/Res_ADASA/2022/res2_pdf/RESOLU%C3%87%C3%83O%20N%C2%BA%2012_2022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8607-90C1-438C-AD22-4D9BF2C2515D}">
  <dimension ref="A1:AE52"/>
  <sheetViews>
    <sheetView showGridLines="0" zoomScale="90" zoomScaleNormal="90" workbookViewId="0">
      <selection activeCell="Q34" sqref="Q34:R35"/>
    </sheetView>
  </sheetViews>
  <sheetFormatPr defaultColWidth="0" defaultRowHeight="15" zeroHeight="1" x14ac:dyDescent="0.25"/>
  <cols>
    <col min="1" max="12" width="9.140625" customWidth="1"/>
    <col min="13" max="13" width="17.85546875" customWidth="1"/>
    <col min="14" max="25" width="9.140625" customWidth="1"/>
    <col min="26" max="26" width="7.7109375" customWidth="1"/>
    <col min="27" max="27" width="5.42578125" hidden="1" customWidth="1"/>
    <col min="28" max="28" width="9.140625" hidden="1" customWidth="1"/>
    <col min="29" max="31" width="0" hidden="1" customWidth="1"/>
    <col min="32" max="16384" width="9.140625" hidden="1"/>
  </cols>
  <sheetData>
    <row r="1" s="22" customFormat="1" ht="3" customHeight="1" x14ac:dyDescent="0.25"/>
    <row r="2" s="22" customFormat="1" x14ac:dyDescent="0.25"/>
    <row r="3" s="91" customFormat="1" x14ac:dyDescent="0.25"/>
    <row r="4" s="91" customFormat="1" x14ac:dyDescent="0.25"/>
    <row r="5" s="91" customFormat="1" ht="20.100000000000001" customHeight="1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5:15" x14ac:dyDescent="0.25"/>
    <row r="18" spans="15:15" x14ac:dyDescent="0.25"/>
    <row r="19" spans="15:15" x14ac:dyDescent="0.25"/>
    <row r="20" spans="15:15" x14ac:dyDescent="0.25"/>
    <row r="21" spans="15:15" x14ac:dyDescent="0.25"/>
    <row r="22" spans="15:15" x14ac:dyDescent="0.25"/>
    <row r="23" spans="15:15" x14ac:dyDescent="0.25"/>
    <row r="24" spans="15:15" x14ac:dyDescent="0.25"/>
    <row r="25" spans="15:15" x14ac:dyDescent="0.25"/>
    <row r="26" spans="15:15" x14ac:dyDescent="0.25">
      <c r="O26" s="20"/>
    </row>
    <row r="27" spans="15:15" x14ac:dyDescent="0.25">
      <c r="O27" s="20"/>
    </row>
    <row r="28" spans="15:15" x14ac:dyDescent="0.25">
      <c r="O28" s="20"/>
    </row>
    <row r="29" spans="15:15" x14ac:dyDescent="0.25">
      <c r="O29" s="20"/>
    </row>
    <row r="30" spans="15:15" x14ac:dyDescent="0.25">
      <c r="O30" s="20"/>
    </row>
    <row r="31" spans="15:15" x14ac:dyDescent="0.25"/>
    <row r="32" spans="15:1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3" tint="-0.249977111117893"/>
  </sheetPr>
  <dimension ref="A1:P43"/>
  <sheetViews>
    <sheetView showGridLines="0" zoomScale="90" zoomScaleNormal="90" workbookViewId="0">
      <selection activeCell="C8" sqref="C8"/>
    </sheetView>
  </sheetViews>
  <sheetFormatPr defaultColWidth="0" defaultRowHeight="14.25" zeroHeight="1" x14ac:dyDescent="0.2"/>
  <cols>
    <col min="1" max="1" width="9.140625" style="1" customWidth="1"/>
    <col min="2" max="2" width="23.42578125" style="1" customWidth="1"/>
    <col min="3" max="3" width="17.28515625" style="1" customWidth="1"/>
    <col min="4" max="4" width="16.7109375" style="1" customWidth="1"/>
    <col min="5" max="5" width="14" style="1" customWidth="1"/>
    <col min="6" max="6" width="13.5703125" style="1" customWidth="1"/>
    <col min="7" max="7" width="18.140625" style="1" customWidth="1"/>
    <col min="8" max="8" width="19" style="1" bestFit="1" customWidth="1"/>
    <col min="9" max="9" width="58" style="1" bestFit="1" customWidth="1"/>
    <col min="10" max="10" width="18.85546875" style="1" bestFit="1" customWidth="1"/>
    <col min="11" max="11" width="21.140625" style="1" customWidth="1"/>
    <col min="12" max="12" width="9.140625" style="1" customWidth="1"/>
    <col min="13" max="13" width="3.85546875" style="1" customWidth="1"/>
    <col min="14" max="15" width="9.140625" style="1" hidden="1" customWidth="1"/>
    <col min="16" max="16" width="3.85546875" style="1" hidden="1" customWidth="1"/>
    <col min="17" max="17" width="9.140625" style="1" hidden="1" customWidth="1"/>
    <col min="18" max="16384" width="9.140625" style="1" hidden="1"/>
  </cols>
  <sheetData>
    <row r="1" spans="1:16" ht="3" customHeight="1" x14ac:dyDescent="0.2"/>
    <row r="2" spans="1:16" ht="15" customHeight="1" x14ac:dyDescent="0.2"/>
    <row r="3" spans="1:16" ht="15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5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1:16" ht="15" customHeight="1" x14ac:dyDescent="0.2"/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25.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ABAD-1478-495E-BE42-4F88C1A5A942}">
  <sheetPr>
    <tabColor theme="7" tint="0.39997558519241921"/>
  </sheetPr>
  <dimension ref="A1:T49"/>
  <sheetViews>
    <sheetView showGridLines="0" zoomScale="90" zoomScaleNormal="90" workbookViewId="0">
      <selection activeCell="N36" sqref="N36"/>
    </sheetView>
  </sheetViews>
  <sheetFormatPr defaultColWidth="0" defaultRowHeight="15" x14ac:dyDescent="0.25"/>
  <cols>
    <col min="1" max="1" width="3.42578125" customWidth="1"/>
    <col min="2" max="2" width="24.28515625" customWidth="1"/>
    <col min="3" max="3" width="18.28515625" style="13" customWidth="1"/>
    <col min="4" max="4" width="16.140625" customWidth="1"/>
    <col min="5" max="7" width="16.28515625" bestFit="1" customWidth="1"/>
    <col min="8" max="8" width="17.28515625" customWidth="1"/>
    <col min="9" max="14" width="16.28515625" bestFit="1" customWidth="1"/>
    <col min="15" max="15" width="16.140625" bestFit="1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3" spans="1:17" x14ac:dyDescent="0.25">
      <c r="A3" s="91"/>
      <c r="B3" s="91"/>
      <c r="C3" s="13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 x14ac:dyDescent="0.25">
      <c r="A4" s="91"/>
      <c r="B4" s="91"/>
      <c r="C4" s="132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20.100000000000001" customHeight="1" x14ac:dyDescent="0.25">
      <c r="A5" s="91"/>
      <c r="B5" s="91"/>
      <c r="C5" s="132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7" spans="1:17" ht="18.75" x14ac:dyDescent="0.25">
      <c r="B7" s="138" t="s">
        <v>151</v>
      </c>
      <c r="C7" s="129"/>
    </row>
    <row r="8" spans="1:17" ht="10.5" customHeight="1" x14ac:dyDescent="0.25"/>
    <row r="10" spans="1:17" x14ac:dyDescent="0.25">
      <c r="B10" s="416">
        <v>2022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</row>
    <row r="11" spans="1:17" x14ac:dyDescent="0.25">
      <c r="B11" s="324" t="s">
        <v>152</v>
      </c>
      <c r="C11" s="325" t="str">
        <f>UPPER("UN")</f>
        <v>UN</v>
      </c>
      <c r="D11" s="326" t="s">
        <v>153</v>
      </c>
      <c r="E11" s="326" t="s">
        <v>154</v>
      </c>
      <c r="F11" s="326" t="s">
        <v>155</v>
      </c>
      <c r="G11" s="326" t="s">
        <v>156</v>
      </c>
      <c r="H11" s="326" t="s">
        <v>157</v>
      </c>
      <c r="I11" s="326" t="s">
        <v>158</v>
      </c>
      <c r="J11" s="326" t="s">
        <v>159</v>
      </c>
      <c r="K11" s="326" t="s">
        <v>160</v>
      </c>
      <c r="L11" s="326" t="s">
        <v>161</v>
      </c>
      <c r="M11" s="326" t="s">
        <v>162</v>
      </c>
      <c r="N11" s="326" t="s">
        <v>163</v>
      </c>
      <c r="O11" s="326" t="s">
        <v>164</v>
      </c>
      <c r="P11" s="326" t="s">
        <v>165</v>
      </c>
    </row>
    <row r="12" spans="1:17" x14ac:dyDescent="0.25">
      <c r="B12" s="327" t="s">
        <v>166</v>
      </c>
      <c r="C12" s="328" t="s">
        <v>167</v>
      </c>
      <c r="D12" s="329">
        <v>139334546.05000001</v>
      </c>
      <c r="E12" s="329">
        <v>138896541.09999999</v>
      </c>
      <c r="F12" s="329">
        <v>152820867.21000001</v>
      </c>
      <c r="G12" s="329">
        <v>152980457.05000001</v>
      </c>
      <c r="H12" s="329">
        <v>160326078.58000001</v>
      </c>
      <c r="I12" s="329">
        <v>155875584.08000001</v>
      </c>
      <c r="J12" s="329">
        <v>158939405.78999999</v>
      </c>
      <c r="K12" s="329">
        <v>163580624.41</v>
      </c>
      <c r="L12" s="329">
        <v>169401186.68000001</v>
      </c>
      <c r="M12" s="329">
        <v>161472682.62</v>
      </c>
      <c r="N12" s="329">
        <v>156324035.38999999</v>
      </c>
      <c r="O12" s="329">
        <v>160229818.13</v>
      </c>
      <c r="P12" s="329">
        <f>SUM(D12:O12)</f>
        <v>1870181827.0900002</v>
      </c>
    </row>
    <row r="13" spans="1:17" x14ac:dyDescent="0.25">
      <c r="B13" s="301" t="s">
        <v>168</v>
      </c>
      <c r="C13" s="330" t="s">
        <v>169</v>
      </c>
      <c r="D13" s="300">
        <f>Volume_2022!D10</f>
        <v>20755649</v>
      </c>
      <c r="E13" s="300">
        <f>Volume_2022!E10</f>
        <v>19565526</v>
      </c>
      <c r="F13" s="300">
        <f>Volume_2022!F10</f>
        <v>22041332</v>
      </c>
      <c r="G13" s="300">
        <f>Volume_2022!G10</f>
        <v>21619833</v>
      </c>
      <c r="H13" s="300">
        <f>Volume_2022!H10</f>
        <v>22190267</v>
      </c>
      <c r="I13" s="300">
        <f>Volume_2022!I10</f>
        <v>21233762</v>
      </c>
      <c r="J13" s="300">
        <f>Volume_2022!J10</f>
        <v>21963586</v>
      </c>
      <c r="K13" s="300">
        <f>Volume_2022!K10</f>
        <v>22744257</v>
      </c>
      <c r="L13" s="300">
        <f>Volume_2022!L10</f>
        <v>21914620</v>
      </c>
      <c r="M13" s="300">
        <f>Volume_2022!M10</f>
        <v>22506639</v>
      </c>
      <c r="N13" s="300">
        <f>Volume_2022!N10</f>
        <v>20967154</v>
      </c>
      <c r="O13" s="300">
        <f>Volume_2022!O10</f>
        <v>21808031</v>
      </c>
      <c r="P13" s="331">
        <f>SUM(D13:O13)</f>
        <v>259310656</v>
      </c>
    </row>
    <row r="14" spans="1:17" x14ac:dyDescent="0.25">
      <c r="B14" s="301" t="s">
        <v>170</v>
      </c>
      <c r="C14" s="330" t="s">
        <v>169</v>
      </c>
      <c r="D14" s="300">
        <f>Volume_2022!D11</f>
        <v>11910050</v>
      </c>
      <c r="E14" s="300">
        <f>Volume_2022!E11</f>
        <v>11295238</v>
      </c>
      <c r="F14" s="332">
        <f>Volume_2022!F11</f>
        <v>11605460</v>
      </c>
      <c r="G14" s="332">
        <f>Volume_2022!G11</f>
        <v>10477155</v>
      </c>
      <c r="H14" s="332">
        <f>Volume_2022!H11</f>
        <v>10276447</v>
      </c>
      <c r="I14" s="332">
        <f>Volume_2022!I11</f>
        <v>9658874</v>
      </c>
      <c r="J14" s="332">
        <f>Volume_2022!J11</f>
        <v>9773056</v>
      </c>
      <c r="K14" s="332">
        <f>Volume_2022!K11</f>
        <v>10314035</v>
      </c>
      <c r="L14" s="332">
        <f>Volume_2022!L11</f>
        <v>10499703</v>
      </c>
      <c r="M14" s="332">
        <f>Volume_2022!M11</f>
        <v>11093508</v>
      </c>
      <c r="N14" s="332">
        <f>Volume_2022!N11</f>
        <v>11738850</v>
      </c>
      <c r="O14" s="300">
        <f>Volume_2022!O11</f>
        <v>13106114</v>
      </c>
      <c r="P14" s="331">
        <f>SUM(D14:O14)</f>
        <v>131748490</v>
      </c>
    </row>
    <row r="15" spans="1:17" x14ac:dyDescent="0.25">
      <c r="B15" s="333" t="s">
        <v>171</v>
      </c>
      <c r="C15" s="334" t="s">
        <v>169</v>
      </c>
      <c r="D15" s="335">
        <f>SUM(D13:D14)</f>
        <v>32665699</v>
      </c>
      <c r="E15" s="335">
        <f t="shared" ref="E15:O15" si="0">SUM(E13:E14)</f>
        <v>30860764</v>
      </c>
      <c r="F15" s="335">
        <f t="shared" si="0"/>
        <v>33646792</v>
      </c>
      <c r="G15" s="335">
        <f t="shared" si="0"/>
        <v>32096988</v>
      </c>
      <c r="H15" s="335">
        <f t="shared" si="0"/>
        <v>32466714</v>
      </c>
      <c r="I15" s="335">
        <f t="shared" si="0"/>
        <v>30892636</v>
      </c>
      <c r="J15" s="335">
        <f t="shared" si="0"/>
        <v>31736642</v>
      </c>
      <c r="K15" s="335">
        <f t="shared" si="0"/>
        <v>33058292</v>
      </c>
      <c r="L15" s="335">
        <f t="shared" si="0"/>
        <v>32414323</v>
      </c>
      <c r="M15" s="335">
        <f t="shared" si="0"/>
        <v>33600147</v>
      </c>
      <c r="N15" s="335">
        <f t="shared" si="0"/>
        <v>32706004</v>
      </c>
      <c r="O15" s="335">
        <f t="shared" si="0"/>
        <v>34914145</v>
      </c>
      <c r="P15" s="335">
        <f>SUM(P13:P14)</f>
        <v>391059146</v>
      </c>
    </row>
    <row r="16" spans="1:17" x14ac:dyDescent="0.25">
      <c r="B16" s="336" t="s">
        <v>172</v>
      </c>
      <c r="C16" s="337" t="s">
        <v>169</v>
      </c>
      <c r="D16" s="300">
        <f>Volume_2022!D54</f>
        <v>12705060</v>
      </c>
      <c r="E16" s="300">
        <f>Volume_2022!E54</f>
        <v>12107622</v>
      </c>
      <c r="F16" s="300">
        <f>Volume_2022!F54</f>
        <v>13130685</v>
      </c>
      <c r="G16" s="300">
        <f>Volume_2022!G54</f>
        <v>13256047</v>
      </c>
      <c r="H16" s="300">
        <f>Volume_2022!H54</f>
        <v>13600847</v>
      </c>
      <c r="I16" s="300">
        <f>Volume_2022!I54</f>
        <v>13328334</v>
      </c>
      <c r="J16" s="300">
        <f>Volume_2022!J54</f>
        <v>13584690</v>
      </c>
      <c r="K16" s="300">
        <f>Volume_2022!K54</f>
        <v>13911953</v>
      </c>
      <c r="L16" s="300">
        <f>Volume_2022!L54</f>
        <v>14235919</v>
      </c>
      <c r="M16" s="300">
        <f>Volume_2022!M54</f>
        <v>14112983</v>
      </c>
      <c r="N16" s="300">
        <f>Volume_2022!N54</f>
        <v>13484400</v>
      </c>
      <c r="O16" s="300">
        <f>Volume_2022!O54</f>
        <v>13274744</v>
      </c>
      <c r="P16" s="331">
        <f>SUM(D16:O16)</f>
        <v>160733284</v>
      </c>
    </row>
    <row r="17" spans="2:16" x14ac:dyDescent="0.25">
      <c r="B17" s="338" t="s">
        <v>173</v>
      </c>
      <c r="C17" s="337" t="s">
        <v>169</v>
      </c>
      <c r="D17" s="300">
        <f>Volume_2022!D92</f>
        <v>11001505.310000002</v>
      </c>
      <c r="E17" s="300">
        <f>Volume_2022!E92</f>
        <v>10493764.77</v>
      </c>
      <c r="F17" s="300">
        <f>Volume_2022!F92</f>
        <v>12566048.23</v>
      </c>
      <c r="G17" s="300">
        <f>Volume_2022!G92</f>
        <v>11381076.469999999</v>
      </c>
      <c r="H17" s="300">
        <f>Volume_2022!H92</f>
        <v>11721273.33</v>
      </c>
      <c r="I17" s="300">
        <f>Volume_2022!I92</f>
        <v>11440454.309999999</v>
      </c>
      <c r="J17" s="300">
        <f>Volume_2022!J92</f>
        <v>11683156.029999999</v>
      </c>
      <c r="K17" s="300">
        <f>Volume_2022!K92</f>
        <v>11919865.529999999</v>
      </c>
      <c r="L17" s="300">
        <f>Volume_2022!L92</f>
        <v>12139106.630000003</v>
      </c>
      <c r="M17" s="300">
        <f>Volume_2022!M92</f>
        <v>12142488.059999999</v>
      </c>
      <c r="N17" s="300">
        <f>Volume_2022!N92</f>
        <v>11689816.450000003</v>
      </c>
      <c r="O17" s="300">
        <f>Volume_2022!O92</f>
        <v>11563692.360000001</v>
      </c>
      <c r="P17" s="331">
        <f>SUM(D17:O17)</f>
        <v>139742247.48000002</v>
      </c>
    </row>
    <row r="18" spans="2:16" x14ac:dyDescent="0.25">
      <c r="B18" s="339" t="s">
        <v>174</v>
      </c>
      <c r="C18" s="334" t="s">
        <v>169</v>
      </c>
      <c r="D18" s="335">
        <f>SUM(D16:D17)</f>
        <v>23706565.310000002</v>
      </c>
      <c r="E18" s="335">
        <f t="shared" ref="E18:O18" si="1">SUM(E16:E17)</f>
        <v>22601386.77</v>
      </c>
      <c r="F18" s="335">
        <f t="shared" si="1"/>
        <v>25696733.23</v>
      </c>
      <c r="G18" s="335">
        <f t="shared" si="1"/>
        <v>24637123.469999999</v>
      </c>
      <c r="H18" s="335">
        <f t="shared" si="1"/>
        <v>25322120.329999998</v>
      </c>
      <c r="I18" s="335">
        <f t="shared" si="1"/>
        <v>24768788.309999999</v>
      </c>
      <c r="J18" s="335">
        <f t="shared" si="1"/>
        <v>25267846.030000001</v>
      </c>
      <c r="K18" s="335">
        <f t="shared" si="1"/>
        <v>25831818.530000001</v>
      </c>
      <c r="L18" s="335">
        <f t="shared" si="1"/>
        <v>26375025.630000003</v>
      </c>
      <c r="M18" s="335">
        <f t="shared" si="1"/>
        <v>26255471.059999999</v>
      </c>
      <c r="N18" s="335">
        <f t="shared" si="1"/>
        <v>25174216.450000003</v>
      </c>
      <c r="O18" s="335">
        <f t="shared" si="1"/>
        <v>24838436.359999999</v>
      </c>
      <c r="P18" s="335">
        <f>P16+P17</f>
        <v>300475531.48000002</v>
      </c>
    </row>
    <row r="19" spans="2:16" x14ac:dyDescent="0.25">
      <c r="B19" s="339" t="s">
        <v>175</v>
      </c>
      <c r="C19" s="334" t="s">
        <v>176</v>
      </c>
      <c r="D19" s="340">
        <f>D12/D18</f>
        <v>5.8774666101135002</v>
      </c>
      <c r="E19" s="340">
        <f t="shared" ref="E19:O19" si="2">E12/E18</f>
        <v>6.1454875540807352</v>
      </c>
      <c r="F19" s="340">
        <f t="shared" si="2"/>
        <v>5.9470931904911248</v>
      </c>
      <c r="G19" s="340">
        <f t="shared" si="2"/>
        <v>6.2093473386323055</v>
      </c>
      <c r="H19" s="340">
        <f t="shared" si="2"/>
        <v>6.33146341975384</v>
      </c>
      <c r="I19" s="340">
        <f t="shared" si="2"/>
        <v>6.2932260605201975</v>
      </c>
      <c r="J19" s="340">
        <f t="shared" si="2"/>
        <v>6.290184196994649</v>
      </c>
      <c r="K19" s="340">
        <f t="shared" si="2"/>
        <v>6.3325245266810875</v>
      </c>
      <c r="L19" s="340">
        <f t="shared" si="2"/>
        <v>6.422787566405864</v>
      </c>
      <c r="M19" s="340">
        <f t="shared" si="2"/>
        <v>6.1500584868957979</v>
      </c>
      <c r="N19" s="340">
        <f t="shared" si="2"/>
        <v>6.2096882220936003</v>
      </c>
      <c r="O19" s="340">
        <f t="shared" si="2"/>
        <v>6.4508818432723594</v>
      </c>
      <c r="P19" s="340">
        <f>P12/P18</f>
        <v>6.2240736138426014</v>
      </c>
    </row>
    <row r="20" spans="2:16" x14ac:dyDescent="0.25">
      <c r="B20" s="341" t="s">
        <v>177</v>
      </c>
      <c r="C20" s="342" t="s">
        <v>167</v>
      </c>
      <c r="D20" s="343">
        <f>D12</f>
        <v>139334546.05000001</v>
      </c>
      <c r="E20" s="343">
        <f t="shared" ref="E20:O20" si="3">E12</f>
        <v>138896541.09999999</v>
      </c>
      <c r="F20" s="343">
        <f t="shared" si="3"/>
        <v>152820867.21000001</v>
      </c>
      <c r="G20" s="343">
        <f t="shared" si="3"/>
        <v>152980457.05000001</v>
      </c>
      <c r="H20" s="343">
        <f t="shared" si="3"/>
        <v>160326078.58000001</v>
      </c>
      <c r="I20" s="343">
        <f t="shared" si="3"/>
        <v>155875584.08000001</v>
      </c>
      <c r="J20" s="343">
        <f t="shared" si="3"/>
        <v>158939405.78999999</v>
      </c>
      <c r="K20" s="343">
        <f t="shared" si="3"/>
        <v>163580624.41</v>
      </c>
      <c r="L20" s="343">
        <f t="shared" si="3"/>
        <v>169401186.68000001</v>
      </c>
      <c r="M20" s="343">
        <f t="shared" si="3"/>
        <v>161472682.62</v>
      </c>
      <c r="N20" s="343">
        <f t="shared" si="3"/>
        <v>156324035.38999999</v>
      </c>
      <c r="O20" s="343">
        <f t="shared" si="3"/>
        <v>160229818.13</v>
      </c>
      <c r="P20" s="343">
        <f t="shared" ref="P20:P21" si="4">SUM(D20:O20)</f>
        <v>1870181827.0900002</v>
      </c>
    </row>
    <row r="21" spans="2:16" x14ac:dyDescent="0.25">
      <c r="B21" s="344" t="s">
        <v>178</v>
      </c>
      <c r="C21" s="345" t="s">
        <v>167</v>
      </c>
      <c r="D21" s="343">
        <f>D15*D19</f>
        <v>191991555.16851795</v>
      </c>
      <c r="E21" s="343">
        <f t="shared" ref="E21:N21" si="5">E15*E19</f>
        <v>189654441.07142282</v>
      </c>
      <c r="F21" s="343">
        <f t="shared" si="5"/>
        <v>200100607.58507127</v>
      </c>
      <c r="G21" s="343">
        <f t="shared" si="5"/>
        <v>199301347.01591304</v>
      </c>
      <c r="H21" s="343">
        <f t="shared" si="5"/>
        <v>205561812.05060989</v>
      </c>
      <c r="I21" s="343">
        <f t="shared" si="5"/>
        <v>194414341.95336443</v>
      </c>
      <c r="J21" s="343">
        <f t="shared" si="5"/>
        <v>199629323.97407666</v>
      </c>
      <c r="K21" s="343">
        <f t="shared" si="5"/>
        <v>209342444.90018517</v>
      </c>
      <c r="L21" s="343">
        <f t="shared" si="5"/>
        <v>208190310.73786363</v>
      </c>
      <c r="M21" s="343">
        <f t="shared" si="5"/>
        <v>206642869.21829638</v>
      </c>
      <c r="N21" s="343">
        <f t="shared" si="5"/>
        <v>203094087.83054617</v>
      </c>
      <c r="O21" s="343">
        <f>O15*O19</f>
        <v>225227024.05387843</v>
      </c>
      <c r="P21" s="343">
        <f t="shared" si="4"/>
        <v>2433150165.5597453</v>
      </c>
    </row>
    <row r="22" spans="2:16" ht="15" customHeight="1" x14ac:dyDescent="0.25">
      <c r="B22" s="297" t="s">
        <v>179</v>
      </c>
      <c r="C22" s="346" t="s">
        <v>167</v>
      </c>
      <c r="D22" s="347">
        <f>(D15*D19)*2.5%</f>
        <v>4799788.8792129485</v>
      </c>
      <c r="E22" s="347">
        <f t="shared" ref="E22:N22" si="6">(E15*E19)*2.5%</f>
        <v>4741361.0267855702</v>
      </c>
      <c r="F22" s="347">
        <f t="shared" si="6"/>
        <v>5002515.1896267822</v>
      </c>
      <c r="G22" s="347">
        <f t="shared" si="6"/>
        <v>4982533.6753978264</v>
      </c>
      <c r="H22" s="347">
        <f>(H15*H19)*2.5%</f>
        <v>5139045.3012652472</v>
      </c>
      <c r="I22" s="347">
        <f t="shared" si="6"/>
        <v>4860358.5488341106</v>
      </c>
      <c r="J22" s="347">
        <f t="shared" si="6"/>
        <v>4990733.0993519165</v>
      </c>
      <c r="K22" s="347">
        <f t="shared" si="6"/>
        <v>5233561.1225046292</v>
      </c>
      <c r="L22" s="347">
        <f t="shared" si="6"/>
        <v>5204757.7684465908</v>
      </c>
      <c r="M22" s="347">
        <f t="shared" si="6"/>
        <v>5166071.7304574102</v>
      </c>
      <c r="N22" s="347">
        <f t="shared" si="6"/>
        <v>5077352.195763655</v>
      </c>
      <c r="O22" s="347">
        <f>(O15*O19)*2.5%</f>
        <v>5630675.6013469612</v>
      </c>
      <c r="P22" s="348">
        <f>SUM(D22:O22)</f>
        <v>60828754.138993651</v>
      </c>
    </row>
    <row r="23" spans="2:16" x14ac:dyDescent="0.25">
      <c r="B23" s="297" t="s">
        <v>180</v>
      </c>
      <c r="C23" s="346" t="s">
        <v>167</v>
      </c>
      <c r="D23" s="347">
        <f>(D18*D19)*1%</f>
        <v>1393345.4605</v>
      </c>
      <c r="E23" s="347">
        <f t="shared" ref="E23:O23" si="7">(E18*E19)*1%</f>
        <v>1388965.4110000001</v>
      </c>
      <c r="F23" s="347">
        <f t="shared" si="7"/>
        <v>1528208.6721000001</v>
      </c>
      <c r="G23" s="347">
        <f t="shared" si="7"/>
        <v>1529804.5705000001</v>
      </c>
      <c r="H23" s="347">
        <f t="shared" si="7"/>
        <v>1603260.7858000002</v>
      </c>
      <c r="I23" s="347">
        <f t="shared" si="7"/>
        <v>1558755.8408000001</v>
      </c>
      <c r="J23" s="347">
        <f t="shared" si="7"/>
        <v>1589394.0578999999</v>
      </c>
      <c r="K23" s="347">
        <f t="shared" si="7"/>
        <v>1635806.2441</v>
      </c>
      <c r="L23" s="347">
        <f t="shared" si="7"/>
        <v>1694011.8668000002</v>
      </c>
      <c r="M23" s="347">
        <f t="shared" si="7"/>
        <v>1614726.8262</v>
      </c>
      <c r="N23" s="347">
        <f t="shared" si="7"/>
        <v>1563240.3539</v>
      </c>
      <c r="O23" s="347">
        <f t="shared" si="7"/>
        <v>1602298.1813000001</v>
      </c>
      <c r="P23" s="348">
        <f>SUM(D23:O23)</f>
        <v>18701818.270900004</v>
      </c>
    </row>
    <row r="24" spans="2:16" ht="15" customHeight="1" x14ac:dyDescent="0.25">
      <c r="B24" s="349" t="s">
        <v>69</v>
      </c>
      <c r="C24" s="262"/>
      <c r="D24" s="350">
        <f>+D23+D22</f>
        <v>6193134.3397129485</v>
      </c>
      <c r="E24" s="350">
        <f t="shared" ref="E24:O24" si="8">+E23+E22</f>
        <v>6130326.4377855705</v>
      </c>
      <c r="F24" s="350">
        <f t="shared" si="8"/>
        <v>6530723.8617267823</v>
      </c>
      <c r="G24" s="350">
        <f t="shared" si="8"/>
        <v>6512338.2458978267</v>
      </c>
      <c r="H24" s="350">
        <f t="shared" si="8"/>
        <v>6742306.0870652478</v>
      </c>
      <c r="I24" s="350">
        <f t="shared" si="8"/>
        <v>6419114.389634111</v>
      </c>
      <c r="J24" s="350">
        <f t="shared" si="8"/>
        <v>6580127.1572519168</v>
      </c>
      <c r="K24" s="350">
        <f t="shared" si="8"/>
        <v>6869367.366604629</v>
      </c>
      <c r="L24" s="350">
        <f t="shared" si="8"/>
        <v>6898769.6352465907</v>
      </c>
      <c r="M24" s="350">
        <f t="shared" si="8"/>
        <v>6780798.5566574102</v>
      </c>
      <c r="N24" s="350">
        <f t="shared" si="8"/>
        <v>6640592.5496636555</v>
      </c>
      <c r="O24" s="350">
        <f t="shared" si="8"/>
        <v>7232973.7826469615</v>
      </c>
      <c r="P24" s="350">
        <f>+P23+P22</f>
        <v>79530572.409893662</v>
      </c>
    </row>
    <row r="25" spans="2:16" ht="15" customHeight="1" x14ac:dyDescent="0.25">
      <c r="D25" s="383"/>
      <c r="E25" s="384"/>
      <c r="F25" s="384"/>
      <c r="G25" s="384"/>
      <c r="H25" s="384"/>
      <c r="I25" s="384"/>
      <c r="J25" s="384"/>
      <c r="K25" s="384"/>
      <c r="L25" s="384"/>
      <c r="M25" s="217"/>
      <c r="N25" s="217"/>
      <c r="O25" s="217"/>
    </row>
    <row r="26" spans="2:16" ht="15" customHeight="1" x14ac:dyDescent="0.25"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2"/>
    </row>
    <row r="27" spans="2:16" x14ac:dyDescent="0.25"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6"/>
    </row>
    <row r="29" spans="2:16" x14ac:dyDescent="0.25">
      <c r="B29" s="416">
        <v>2022</v>
      </c>
      <c r="C29" s="416"/>
      <c r="D29" s="416"/>
      <c r="E29" s="416"/>
      <c r="F29" s="416"/>
      <c r="G29" s="416"/>
    </row>
    <row r="30" spans="2:16" ht="18" x14ac:dyDescent="0.25">
      <c r="B30" s="262" t="s">
        <v>181</v>
      </c>
      <c r="C30" s="262" t="s">
        <v>182</v>
      </c>
      <c r="D30" s="262" t="s">
        <v>183</v>
      </c>
      <c r="E30" s="262" t="s">
        <v>121</v>
      </c>
      <c r="F30" s="262" t="s">
        <v>184</v>
      </c>
      <c r="G30" s="262" t="s">
        <v>185</v>
      </c>
      <c r="I30" s="418" t="s">
        <v>186</v>
      </c>
      <c r="J30" s="418"/>
      <c r="K30" s="418"/>
      <c r="L30" s="418"/>
      <c r="M30" s="421" t="s">
        <v>187</v>
      </c>
      <c r="N30" s="422"/>
      <c r="O30" s="319">
        <f>+G43</f>
        <v>-8830.5262978610117</v>
      </c>
    </row>
    <row r="31" spans="2:16" x14ac:dyDescent="0.25">
      <c r="B31" s="351" t="s">
        <v>188</v>
      </c>
      <c r="C31" s="352">
        <f>+D24</f>
        <v>6193134.3397129485</v>
      </c>
      <c r="D31" s="352">
        <f>'VPA 2023'!$C$9*E31</f>
        <v>6274709.6234101234</v>
      </c>
      <c r="E31" s="352">
        <f>Volume_2022!$D$130</f>
        <v>23706565.310000002</v>
      </c>
      <c r="F31" s="353">
        <f>Índices_2022!$F$22/Índices_2022!F11-1</f>
        <v>5.2168910254847489E-2</v>
      </c>
      <c r="G31" s="354">
        <f>(C31-D31)*(1+F31)</f>
        <v>-85830.977351386508</v>
      </c>
      <c r="I31" s="418" t="s">
        <v>58</v>
      </c>
      <c r="J31" s="418"/>
      <c r="K31" s="418"/>
      <c r="L31" s="418"/>
      <c r="M31" s="423" t="s">
        <v>121</v>
      </c>
      <c r="N31" s="424"/>
      <c r="O31" s="369">
        <f>Volume_2022!P130</f>
        <v>300475531.48000002</v>
      </c>
    </row>
    <row r="32" spans="2:16" x14ac:dyDescent="0.25">
      <c r="B32" s="351" t="s">
        <v>189</v>
      </c>
      <c r="C32" s="352">
        <f>+E24</f>
        <v>6130326.4377855705</v>
      </c>
      <c r="D32" s="352">
        <f>'VPA 2023'!$C$9*E32</f>
        <v>5982188.36063575</v>
      </c>
      <c r="E32" s="352">
        <f>Volume_2022!$E$130</f>
        <v>22601386.77</v>
      </c>
      <c r="F32" s="353">
        <f>Índices_2022!$F$22/Índices_2022!F12-1</f>
        <v>4.1647627444796997E-2</v>
      </c>
      <c r="G32" s="354">
        <f t="shared" ref="G32:G42" si="9">(C32-D32)*(1+F32)</f>
        <v>154307.67659734483</v>
      </c>
      <c r="I32" s="407" t="s">
        <v>190</v>
      </c>
      <c r="J32" s="407"/>
      <c r="K32" s="407"/>
      <c r="L32" s="407"/>
      <c r="M32" s="419" t="s">
        <v>191</v>
      </c>
      <c r="N32" s="420"/>
      <c r="O32" s="357">
        <f>O30/O31</f>
        <v>-2.9388503797184502E-5</v>
      </c>
    </row>
    <row r="33" spans="2:7" x14ac:dyDescent="0.25">
      <c r="B33" s="351" t="s">
        <v>192</v>
      </c>
      <c r="C33" s="352">
        <f>+F24</f>
        <v>6530723.8617267823</v>
      </c>
      <c r="D33" s="352">
        <f>'VPA 2023'!$C$9*E33</f>
        <v>6801471.9627254046</v>
      </c>
      <c r="E33" s="352">
        <f>Volume_2022!$F$130</f>
        <v>25696733.23</v>
      </c>
      <c r="F33" s="353">
        <f>Índices_2022!$F$22/Índices_2022!F13-1</f>
        <v>2.5041442827897109E-2</v>
      </c>
      <c r="G33" s="354">
        <f t="shared" si="9"/>
        <v>-277528.02409054106</v>
      </c>
    </row>
    <row r="34" spans="2:7" x14ac:dyDescent="0.25">
      <c r="B34" s="351" t="s">
        <v>193</v>
      </c>
      <c r="C34" s="352">
        <f>+G24</f>
        <v>6512338.2458978267</v>
      </c>
      <c r="D34" s="352">
        <f>'VPA 2023'!$C$9*E34</f>
        <v>6521011.9521254422</v>
      </c>
      <c r="E34" s="352">
        <f>Volume_2022!$G$130</f>
        <v>24637123.469999999</v>
      </c>
      <c r="F34" s="353">
        <f>Índices_2022!$F$22/Índices_2022!F14-1</f>
        <v>1.4289787682049582E-2</v>
      </c>
      <c r="G34" s="354">
        <f t="shared" si="9"/>
        <v>-8797.6516480245718</v>
      </c>
    </row>
    <row r="35" spans="2:7" x14ac:dyDescent="0.25">
      <c r="B35" s="351" t="s">
        <v>194</v>
      </c>
      <c r="C35" s="352">
        <f>+H24</f>
        <v>6742306.0870652478</v>
      </c>
      <c r="D35" s="352">
        <f>'VPA 2023'!$C$9*E35</f>
        <v>6702318.5367463129</v>
      </c>
      <c r="E35" s="352">
        <f>Volume_2022!$H$130</f>
        <v>25322120.329999998</v>
      </c>
      <c r="F35" s="353">
        <f>Índices_2022!$F$22/Índices_2022!F15-1</f>
        <v>9.5448534823667774E-3</v>
      </c>
      <c r="G35" s="354">
        <f t="shared" si="9"/>
        <v>40369.225627847954</v>
      </c>
    </row>
    <row r="36" spans="2:7" x14ac:dyDescent="0.25">
      <c r="B36" s="351" t="s">
        <v>195</v>
      </c>
      <c r="C36" s="352">
        <f>+I24</f>
        <v>6419114.389634111</v>
      </c>
      <c r="D36" s="352">
        <f>'VPA 2023'!$C$9*E36</f>
        <v>6555861.3125371868</v>
      </c>
      <c r="E36" s="352">
        <f>Volume_2022!$I$130</f>
        <v>24768788.309999999</v>
      </c>
      <c r="F36" s="353">
        <f>Índices_2022!$F$22/Índices_2022!F16-1</f>
        <v>2.8253444550290219E-3</v>
      </c>
      <c r="G36" s="354">
        <f t="shared" si="9"/>
        <v>-137133.2800634423</v>
      </c>
    </row>
    <row r="37" spans="2:7" x14ac:dyDescent="0.25">
      <c r="B37" s="351" t="s">
        <v>196</v>
      </c>
      <c r="C37" s="352">
        <f>+J24</f>
        <v>6580127.1572519168</v>
      </c>
      <c r="D37" s="352">
        <f>'VPA 2023'!$C$9*E37</f>
        <v>6687953.0870044148</v>
      </c>
      <c r="E37" s="352">
        <f>Volume_2022!$J$130</f>
        <v>25267846.030000001</v>
      </c>
      <c r="F37" s="353">
        <f>Índices_2022!$F$22/Índices_2022!F17-1</f>
        <v>9.6912795639392257E-3</v>
      </c>
      <c r="G37" s="354">
        <f t="shared" si="9"/>
        <v>-108870.90098197106</v>
      </c>
    </row>
    <row r="38" spans="2:7" x14ac:dyDescent="0.25">
      <c r="B38" s="351" t="s">
        <v>197</v>
      </c>
      <c r="C38" s="352">
        <f>+K24</f>
        <v>6869367.366604629</v>
      </c>
      <c r="D38" s="352">
        <f>'VPA 2023'!$C$9*E38</f>
        <v>6837226.6585578583</v>
      </c>
      <c r="E38" s="352">
        <f>Volume_2022!$K$130</f>
        <v>25831818.530000001</v>
      </c>
      <c r="F38" s="353">
        <f>Índices_2022!$F$22/Índices_2022!F18-1</f>
        <v>1.3338822045213083E-2</v>
      </c>
      <c r="G38" s="354">
        <f t="shared" si="9"/>
        <v>32569.427231813675</v>
      </c>
    </row>
    <row r="39" spans="2:7" x14ac:dyDescent="0.25">
      <c r="B39" s="351" t="s">
        <v>198</v>
      </c>
      <c r="C39" s="352">
        <f>+L24</f>
        <v>6898769.6352465907</v>
      </c>
      <c r="D39" s="352">
        <f>'VPA 2023'!$C$9*E39</f>
        <v>6981003.9950595303</v>
      </c>
      <c r="E39" s="352">
        <f>Volume_2022!$L$130</f>
        <v>26375025.630000003</v>
      </c>
      <c r="F39" s="353">
        <f>Índices_2022!$F$22/Índices_2022!F19-1</f>
        <v>1.6286414853838194E-2</v>
      </c>
      <c r="G39" s="354">
        <f t="shared" si="9"/>
        <v>-83573.662712092875</v>
      </c>
    </row>
    <row r="40" spans="2:7" x14ac:dyDescent="0.25">
      <c r="B40" s="351" t="s">
        <v>199</v>
      </c>
      <c r="C40" s="352">
        <f>+M24</f>
        <v>6780798.5566574102</v>
      </c>
      <c r="D40" s="352">
        <f>'VPA 2023'!$C$9*E40</f>
        <v>6949360.0094761252</v>
      </c>
      <c r="E40" s="352">
        <f>Volume_2022!$M$130</f>
        <v>26255471.059999999</v>
      </c>
      <c r="F40" s="353">
        <f>Índices_2022!$F$22/Índices_2022!F20-1</f>
        <v>1.0324707042679959E-2</v>
      </c>
      <c r="G40" s="354">
        <f t="shared" si="9"/>
        <v>-170301.80043775676</v>
      </c>
    </row>
    <row r="41" spans="2:7" x14ac:dyDescent="0.25">
      <c r="B41" s="351" t="s">
        <v>200</v>
      </c>
      <c r="C41" s="352">
        <f>+N24</f>
        <v>6640592.5496636555</v>
      </c>
      <c r="D41" s="352">
        <f>'VPA 2023'!$C$9*E41</f>
        <v>6663170.9889240144</v>
      </c>
      <c r="E41" s="352">
        <f>Volume_2022!$N$130</f>
        <v>25174216.450000003</v>
      </c>
      <c r="F41" s="353">
        <f>Índices_2022!$F$22/Índices_2022!F21-1</f>
        <v>6.199682944266538E-3</v>
      </c>
      <c r="G41" s="354">
        <f t="shared" si="9"/>
        <v>-22718.418425149528</v>
      </c>
    </row>
    <row r="42" spans="2:7" x14ac:dyDescent="0.25">
      <c r="B42" s="351" t="s">
        <v>201</v>
      </c>
      <c r="C42" s="352">
        <f>+O24</f>
        <v>7232973.7826469615</v>
      </c>
      <c r="D42" s="352">
        <f>'VPA 2023'!$C$9*E42</f>
        <v>6574295.9226914644</v>
      </c>
      <c r="E42" s="352">
        <f>Volume_2022!$O$130</f>
        <v>24838436.359999999</v>
      </c>
      <c r="F42" s="353">
        <f>Índices_2022!$F$22/Índices_2022!F22-1</f>
        <v>0</v>
      </c>
      <c r="G42" s="354">
        <f t="shared" si="9"/>
        <v>658677.85995549709</v>
      </c>
    </row>
    <row r="43" spans="2:7" x14ac:dyDescent="0.25">
      <c r="B43" s="262" t="s">
        <v>165</v>
      </c>
      <c r="C43" s="355">
        <f>SUM(C31:C42)</f>
        <v>79530572.409893632</v>
      </c>
      <c r="D43" s="355">
        <f>SUM(D31:D42)</f>
        <v>79530572.409893632</v>
      </c>
      <c r="E43" s="355">
        <f>SUM(E31:E42)</f>
        <v>300475531.48000002</v>
      </c>
      <c r="F43" s="355"/>
      <c r="G43" s="356">
        <f>SUM(G31:G42)</f>
        <v>-8830.5262978610117</v>
      </c>
    </row>
    <row r="48" spans="2:7" x14ac:dyDescent="0.25">
      <c r="D48" s="210"/>
      <c r="E48" s="210"/>
      <c r="F48" s="210"/>
    </row>
    <row r="49" spans="4:6" x14ac:dyDescent="0.25">
      <c r="D49" s="210"/>
      <c r="E49" s="210"/>
      <c r="F49" s="210"/>
    </row>
  </sheetData>
  <mergeCells count="8">
    <mergeCell ref="B10:P10"/>
    <mergeCell ref="B29:G29"/>
    <mergeCell ref="I32:L32"/>
    <mergeCell ref="I30:L30"/>
    <mergeCell ref="I31:L31"/>
    <mergeCell ref="M32:N32"/>
    <mergeCell ref="M30:N30"/>
    <mergeCell ref="M31:N31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3" tint="-0.499984740745262"/>
  </sheetPr>
  <dimension ref="A1:P43"/>
  <sheetViews>
    <sheetView showGridLines="0" tabSelected="1" zoomScale="90" zoomScaleNormal="90" workbookViewId="0">
      <selection activeCell="I19" sqref="I19"/>
    </sheetView>
  </sheetViews>
  <sheetFormatPr defaultColWidth="0" defaultRowHeight="15" zeroHeight="1" x14ac:dyDescent="0.25"/>
  <cols>
    <col min="1" max="1" width="11.28515625" style="9" customWidth="1"/>
    <col min="2" max="2" width="37.5703125" style="9" customWidth="1"/>
    <col min="3" max="3" width="19.5703125" style="9" customWidth="1"/>
    <col min="4" max="5" width="14.5703125" style="9" customWidth="1"/>
    <col min="6" max="6" width="15" style="9" customWidth="1"/>
    <col min="7" max="7" width="20.28515625" style="9" customWidth="1"/>
    <col min="8" max="8" width="18.7109375" style="9" customWidth="1"/>
    <col min="9" max="10" width="18.7109375" customWidth="1"/>
    <col min="11" max="11" width="25.5703125" customWidth="1"/>
    <col min="12" max="12" width="17.42578125" bestFit="1" customWidth="1"/>
    <col min="13" max="13" width="9.140625" customWidth="1"/>
    <col min="14" max="14" width="0.85546875" customWidth="1"/>
    <col min="15" max="15" width="9.140625" hidden="1" customWidth="1"/>
    <col min="16" max="16" width="10" hidden="1" customWidth="1"/>
    <col min="17" max="16384" width="9.140625" hidden="1"/>
  </cols>
  <sheetData>
    <row r="1" spans="1:16" s="9" customFormat="1" ht="3" customHeight="1" x14ac:dyDescent="0.2"/>
    <row r="2" spans="1:16" s="9" customFormat="1" ht="14.25" customHeight="1" x14ac:dyDescent="0.2"/>
    <row r="3" spans="1:16" s="9" customFormat="1" ht="18" customHeight="1" x14ac:dyDescent="0.2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s="9" customFormat="1" ht="14.2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6" s="9" customFormat="1" ht="20.100000000000001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6" s="9" customFormat="1" ht="14.25" x14ac:dyDescent="0.2"/>
    <row r="7" spans="1:16" s="10" customFormat="1" ht="18.75" x14ac:dyDescent="0.25">
      <c r="B7" s="149" t="s">
        <v>202</v>
      </c>
      <c r="C7" s="149"/>
      <c r="D7" s="149"/>
      <c r="E7" s="149"/>
      <c r="F7" s="149"/>
      <c r="G7" s="149"/>
      <c r="H7" s="149"/>
    </row>
    <row r="8" spans="1:16" s="10" customFormat="1" ht="18.75" x14ac:dyDescent="0.25">
      <c r="B8" s="149"/>
      <c r="C8" s="149"/>
      <c r="D8" s="149"/>
      <c r="E8" s="149"/>
      <c r="F8" s="149"/>
      <c r="G8" s="149"/>
      <c r="H8" s="149"/>
    </row>
    <row r="9" spans="1:16" s="10" customFormat="1" ht="18.95" customHeight="1" x14ac:dyDescent="0.25">
      <c r="B9" s="393"/>
      <c r="C9" s="393"/>
      <c r="D9" s="393"/>
      <c r="E9" s="256" t="s">
        <v>203</v>
      </c>
      <c r="F9" s="256" t="s">
        <v>204</v>
      </c>
      <c r="G9" s="149"/>
      <c r="H9" s="149"/>
    </row>
    <row r="10" spans="1:16" s="10" customFormat="1" ht="18.75" x14ac:dyDescent="0.25">
      <c r="B10" s="404" t="s">
        <v>205</v>
      </c>
      <c r="C10" s="404"/>
      <c r="D10" s="244" t="s">
        <v>206</v>
      </c>
      <c r="E10" s="358">
        <v>96831747.127700493</v>
      </c>
      <c r="F10" s="358">
        <f>'VPA 2023'!C31</f>
        <v>92053571.848433629</v>
      </c>
      <c r="G10" s="149"/>
      <c r="H10" s="149"/>
      <c r="I10" s="191"/>
      <c r="J10" s="191"/>
    </row>
    <row r="11" spans="1:16" s="10" customFormat="1" ht="18.75" x14ac:dyDescent="0.25">
      <c r="B11" s="404" t="s">
        <v>207</v>
      </c>
      <c r="C11" s="404"/>
      <c r="D11" s="244" t="s">
        <v>208</v>
      </c>
      <c r="E11" s="358">
        <v>11572455.893999999</v>
      </c>
      <c r="F11" s="358">
        <f>'Bônus-Desconto'!K16</f>
        <v>10718609.096000001</v>
      </c>
      <c r="G11" s="149"/>
      <c r="H11" s="149"/>
      <c r="I11" s="191"/>
      <c r="J11" s="191"/>
    </row>
    <row r="12" spans="1:16" s="10" customFormat="1" ht="18.75" x14ac:dyDescent="0.25">
      <c r="B12" s="404" t="s">
        <v>209</v>
      </c>
      <c r="C12" s="404"/>
      <c r="D12" s="244" t="s">
        <v>210</v>
      </c>
      <c r="E12" s="358">
        <v>1621953249.3593116</v>
      </c>
      <c r="F12" s="358">
        <f>'VPB 2023'!C27*F15</f>
        <v>1755945675.8137593</v>
      </c>
      <c r="G12" s="192"/>
      <c r="H12" s="149"/>
      <c r="I12" s="191"/>
      <c r="J12" s="191"/>
    </row>
    <row r="13" spans="1:16" s="10" customFormat="1" ht="18.75" x14ac:dyDescent="0.25">
      <c r="B13" s="404" t="s">
        <v>211</v>
      </c>
      <c r="C13" s="404"/>
      <c r="D13" s="244" t="s">
        <v>212</v>
      </c>
      <c r="E13" s="359">
        <f>-102341869.072256</f>
        <v>-102341869.072256</v>
      </c>
      <c r="F13" s="359">
        <f>'CF - 2023'!O30</f>
        <v>-8830.5262978610117</v>
      </c>
      <c r="G13" s="192"/>
      <c r="H13" s="149"/>
      <c r="I13" s="191"/>
      <c r="J13" s="191"/>
    </row>
    <row r="14" spans="1:16" s="10" customFormat="1" ht="18.75" x14ac:dyDescent="0.25">
      <c r="B14" s="418" t="s">
        <v>213</v>
      </c>
      <c r="C14" s="418"/>
      <c r="D14" s="318" t="s">
        <v>214</v>
      </c>
      <c r="E14" s="359">
        <v>1628015583.3087564</v>
      </c>
      <c r="F14" s="359">
        <f>SUM(F10:F13)</f>
        <v>1858709026.2318952</v>
      </c>
      <c r="G14" s="192"/>
      <c r="H14" s="193"/>
      <c r="I14" s="194"/>
      <c r="J14" s="194"/>
    </row>
    <row r="15" spans="1:16" s="10" customFormat="1" ht="18.75" x14ac:dyDescent="0.25">
      <c r="B15" s="418" t="s">
        <v>215</v>
      </c>
      <c r="C15" s="418"/>
      <c r="D15" s="318" t="s">
        <v>121</v>
      </c>
      <c r="E15" s="359">
        <v>290126828.61000001</v>
      </c>
      <c r="F15" s="359">
        <f>'VPA 2023'!C14</f>
        <v>300475531.48000002</v>
      </c>
      <c r="G15" s="149"/>
      <c r="H15" s="193"/>
      <c r="I15" s="191"/>
      <c r="J15" s="194"/>
    </row>
    <row r="16" spans="1:16" s="10" customFormat="1" ht="18.75" x14ac:dyDescent="0.2">
      <c r="B16" s="238" t="s">
        <v>216</v>
      </c>
      <c r="C16" s="106"/>
      <c r="D16" s="86"/>
      <c r="E16" s="87"/>
      <c r="F16" s="12"/>
      <c r="G16" s="149"/>
      <c r="H16" s="149"/>
      <c r="I16" s="191"/>
      <c r="J16" s="191"/>
    </row>
    <row r="17" spans="1:12" s="10" customFormat="1" ht="18.75" x14ac:dyDescent="0.2">
      <c r="B17" s="161" t="s">
        <v>217</v>
      </c>
      <c r="C17" s="161"/>
      <c r="D17" s="86"/>
      <c r="E17" s="87"/>
      <c r="F17" s="9"/>
      <c r="G17" s="149"/>
      <c r="H17" s="380"/>
      <c r="I17" s="191"/>
      <c r="J17" s="386"/>
      <c r="K17" s="9"/>
      <c r="L17" s="9"/>
    </row>
    <row r="18" spans="1:12" s="11" customFormat="1" ht="18.75" x14ac:dyDescent="0.2">
      <c r="B18" s="9"/>
      <c r="C18" s="9"/>
      <c r="D18" s="9"/>
      <c r="E18" s="9"/>
      <c r="F18" s="9"/>
      <c r="G18" s="9"/>
      <c r="H18" s="380"/>
      <c r="I18" s="191"/>
      <c r="J18" s="376"/>
      <c r="K18" s="12"/>
      <c r="L18" s="12"/>
    </row>
    <row r="19" spans="1:12" s="11" customFormat="1" ht="18.95" customHeight="1" x14ac:dyDescent="0.2">
      <c r="B19" s="393" t="s">
        <v>218</v>
      </c>
      <c r="C19" s="393"/>
      <c r="D19" s="256" t="s">
        <v>219</v>
      </c>
      <c r="E19" s="263" t="s">
        <v>220</v>
      </c>
      <c r="F19" s="23"/>
      <c r="H19" s="380"/>
      <c r="I19" s="191"/>
      <c r="J19" s="194"/>
      <c r="K19" s="12"/>
      <c r="L19" s="9"/>
    </row>
    <row r="20" spans="1:12" s="11" customFormat="1" ht="17.100000000000001" customHeight="1" x14ac:dyDescent="0.35">
      <c r="B20" s="246" t="s">
        <v>221</v>
      </c>
      <c r="C20" s="247" t="s">
        <v>222</v>
      </c>
      <c r="D20" s="360">
        <f>E10/E15</f>
        <v>0.33375661117457556</v>
      </c>
      <c r="E20" s="360">
        <f>F10/F15</f>
        <v>0.30635962733811095</v>
      </c>
      <c r="F20" s="375"/>
      <c r="G20" s="365"/>
      <c r="H20" s="380"/>
      <c r="I20" s="370"/>
      <c r="J20" s="9"/>
      <c r="K20" s="9"/>
      <c r="L20" s="9"/>
    </row>
    <row r="21" spans="1:12" s="11" customFormat="1" ht="17.100000000000001" customHeight="1" x14ac:dyDescent="0.35">
      <c r="B21" s="246" t="s">
        <v>223</v>
      </c>
      <c r="C21" s="247" t="s">
        <v>224</v>
      </c>
      <c r="D21" s="360">
        <f>E11/E15</f>
        <v>3.9887575890322623E-2</v>
      </c>
      <c r="E21" s="360">
        <f>F11/F15</f>
        <v>3.5672152881152129E-2</v>
      </c>
      <c r="F21" s="375"/>
      <c r="G21" s="365"/>
      <c r="H21" s="366"/>
      <c r="I21" s="9"/>
      <c r="J21" s="9"/>
      <c r="K21" s="9"/>
      <c r="L21" s="9"/>
    </row>
    <row r="22" spans="1:12" s="11" customFormat="1" ht="17.100000000000001" customHeight="1" x14ac:dyDescent="0.35">
      <c r="B22" s="246" t="s">
        <v>225</v>
      </c>
      <c r="C22" s="247" t="s">
        <v>226</v>
      </c>
      <c r="D22" s="360">
        <f>E12/E15</f>
        <v>5.5904972908920652</v>
      </c>
      <c r="E22" s="360">
        <f>F12/F15</f>
        <v>5.8438890753094048</v>
      </c>
      <c r="F22" s="375"/>
      <c r="G22" s="365"/>
      <c r="H22" s="366"/>
      <c r="I22" s="9"/>
      <c r="J22" s="9"/>
      <c r="K22" s="18"/>
      <c r="L22" s="9"/>
    </row>
    <row r="23" spans="1:12" s="11" customFormat="1" ht="17.100000000000001" customHeight="1" x14ac:dyDescent="0.35">
      <c r="B23" s="246" t="s">
        <v>227</v>
      </c>
      <c r="C23" s="247" t="s">
        <v>228</v>
      </c>
      <c r="D23" s="360">
        <f>E13/E15</f>
        <v>-0.35274872566103838</v>
      </c>
      <c r="E23" s="390">
        <f>F13/F15</f>
        <v>-2.9388503797184502E-5</v>
      </c>
      <c r="F23" s="375"/>
      <c r="G23" s="365"/>
      <c r="H23" s="366"/>
      <c r="I23" s="9"/>
      <c r="J23" s="371"/>
      <c r="K23" s="9"/>
      <c r="L23" s="9"/>
    </row>
    <row r="24" spans="1:12" s="11" customFormat="1" ht="17.100000000000001" customHeight="1" x14ac:dyDescent="0.2">
      <c r="B24" s="393" t="s">
        <v>229</v>
      </c>
      <c r="C24" s="393"/>
      <c r="D24" s="361">
        <f>SUM(D20:D23)</f>
        <v>5.6113927522959255</v>
      </c>
      <c r="E24" s="361">
        <f>SUM(E20:E23)</f>
        <v>6.185891467024871</v>
      </c>
      <c r="F24" s="371"/>
      <c r="G24" s="371"/>
      <c r="I24" s="370"/>
      <c r="J24" s="370"/>
      <c r="K24" s="9"/>
      <c r="L24" s="18"/>
    </row>
    <row r="25" spans="1:12" s="242" customFormat="1" ht="15.75" x14ac:dyDescent="0.25">
      <c r="A25" s="12"/>
      <c r="B25" s="426" t="s">
        <v>230</v>
      </c>
      <c r="C25" s="427"/>
      <c r="D25" s="425">
        <f>E24/D24-1</f>
        <v>0.10238077070864215</v>
      </c>
      <c r="E25" s="425"/>
      <c r="F25" s="389"/>
      <c r="G25" s="18"/>
      <c r="H25" s="388"/>
      <c r="I25" s="18"/>
      <c r="J25" s="9"/>
      <c r="K25" s="9"/>
      <c r="L25" s="241"/>
    </row>
    <row r="26" spans="1:12" s="241" customFormat="1" ht="6" customHeight="1" x14ac:dyDescent="0.2">
      <c r="A26" s="9"/>
      <c r="B26" s="135"/>
      <c r="C26" s="135"/>
      <c r="D26" s="198"/>
      <c r="E26" s="135"/>
      <c r="F26" s="135"/>
      <c r="G26" s="135"/>
      <c r="H26" s="80"/>
      <c r="I26" s="12"/>
      <c r="J26" s="9"/>
      <c r="K26" s="9"/>
    </row>
    <row r="27" spans="1:12" s="9" customFormat="1" ht="17.100000000000001" customHeight="1" x14ac:dyDescent="0.25">
      <c r="E27" s="199"/>
      <c r="F27" s="389"/>
      <c r="G27" s="137"/>
      <c r="H27" s="1"/>
      <c r="I27" s="199"/>
      <c r="J27"/>
      <c r="K27"/>
      <c r="L27"/>
    </row>
    <row r="28" spans="1:12" s="9" customFormat="1" ht="17.100000000000001" customHeight="1" x14ac:dyDescent="0.25">
      <c r="F28" s="137"/>
      <c r="G28" s="137"/>
      <c r="H28" s="387"/>
      <c r="I28" s="18"/>
      <c r="J28"/>
      <c r="K28"/>
      <c r="L28"/>
    </row>
    <row r="29" spans="1:12" s="9" customFormat="1" ht="16.5" hidden="1" customHeight="1" x14ac:dyDescent="0.25">
      <c r="F29" s="137"/>
      <c r="G29" s="137"/>
      <c r="H29" s="134"/>
      <c r="I29" s="87"/>
      <c r="J29"/>
      <c r="K29"/>
      <c r="L29"/>
    </row>
    <row r="30" spans="1:12" s="9" customFormat="1" hidden="1" x14ac:dyDescent="0.25">
      <c r="F30" s="137"/>
      <c r="G30" s="137"/>
      <c r="H30"/>
      <c r="I30" s="76"/>
      <c r="J30" s="81"/>
      <c r="K30"/>
      <c r="L30"/>
    </row>
    <row r="31" spans="1:12" s="9" customFormat="1" hidden="1" x14ac:dyDescent="0.25">
      <c r="F31" s="136"/>
      <c r="G31" s="136"/>
      <c r="H31"/>
      <c r="I31" s="174"/>
      <c r="J31" s="84"/>
      <c r="K31" s="27"/>
      <c r="L31"/>
    </row>
    <row r="32" spans="1:12" s="12" customFormat="1" ht="19.5" hidden="1" x14ac:dyDescent="0.25">
      <c r="B32" s="9"/>
      <c r="C32" s="9"/>
      <c r="D32" s="9"/>
      <c r="E32" s="9"/>
      <c r="F32" s="136"/>
      <c r="G32" s="136"/>
      <c r="H32" s="85"/>
      <c r="I32" s="174"/>
      <c r="J32" s="85"/>
      <c r="K32" s="88"/>
      <c r="L32"/>
    </row>
    <row r="33" spans="1:11" hidden="1" x14ac:dyDescent="0.25">
      <c r="A33" s="1"/>
      <c r="F33" s="135"/>
      <c r="G33" s="135"/>
      <c r="H33" s="81"/>
      <c r="I33" s="172"/>
      <c r="K33" s="88"/>
    </row>
    <row r="34" spans="1:11" ht="19.5" hidden="1" x14ac:dyDescent="0.25">
      <c r="A34" s="1"/>
      <c r="H34" s="83"/>
    </row>
    <row r="35" spans="1:11" hidden="1" x14ac:dyDescent="0.25">
      <c r="A35" s="1"/>
    </row>
    <row r="36" spans="1:11" hidden="1" x14ac:dyDescent="0.25">
      <c r="A36" s="1"/>
      <c r="I36" s="173"/>
    </row>
    <row r="37" spans="1:11" ht="19.5" hidden="1" x14ac:dyDescent="0.25">
      <c r="A37" s="1"/>
      <c r="I37" s="82"/>
    </row>
    <row r="38" spans="1:11" ht="19.5" hidden="1" x14ac:dyDescent="0.25">
      <c r="A38" s="1"/>
      <c r="I38" s="82"/>
    </row>
    <row r="39" spans="1:11" hidden="1" x14ac:dyDescent="0.25">
      <c r="A39" s="1"/>
    </row>
    <row r="40" spans="1:11" hidden="1" x14ac:dyDescent="0.25">
      <c r="A40" s="1"/>
    </row>
    <row r="41" spans="1:11" ht="21" hidden="1" customHeight="1" x14ac:dyDescent="0.25">
      <c r="A41" s="1"/>
    </row>
    <row r="42" spans="1:11" ht="21.75" hidden="1" customHeight="1" x14ac:dyDescent="0.25"/>
    <row r="43" spans="1:11" hidden="1" x14ac:dyDescent="0.25">
      <c r="D43" s="199"/>
    </row>
  </sheetData>
  <mergeCells count="11">
    <mergeCell ref="D25:E25"/>
    <mergeCell ref="B9:D9"/>
    <mergeCell ref="B19:C19"/>
    <mergeCell ref="B24:C24"/>
    <mergeCell ref="B25:C25"/>
    <mergeCell ref="B10:C10"/>
    <mergeCell ref="B11:C11"/>
    <mergeCell ref="B12:C12"/>
    <mergeCell ref="B13:C13"/>
    <mergeCell ref="B14:C14"/>
    <mergeCell ref="B15:C15"/>
  </mergeCells>
  <phoneticPr fontId="32" type="noConversion"/>
  <hyperlinks>
    <hyperlink ref="B17" r:id="rId1" display="Disponível em: https://www.adasa.df.gov.br/images/storage/audiencia_publica/002-2021/Nota_Tecnica_11_2021_COEE_SEF_ADASA.pdf" xr:uid="{53473FA6-8AD2-472F-9182-F2A17866B92B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F71C-B416-4DA0-B182-7DC5F8C4D8C1}">
  <sheetPr>
    <tabColor theme="3" tint="-0.499984740745262"/>
  </sheetPr>
  <dimension ref="A1:V63"/>
  <sheetViews>
    <sheetView showGridLines="0" zoomScale="90" zoomScaleNormal="90" workbookViewId="0">
      <selection activeCell="E37" sqref="E37"/>
    </sheetView>
  </sheetViews>
  <sheetFormatPr defaultColWidth="0" defaultRowHeight="0" customHeight="1" zeroHeight="1" x14ac:dyDescent="0.25"/>
  <cols>
    <col min="1" max="1" width="4.85546875" style="9" customWidth="1"/>
    <col min="2" max="3" width="16.28515625" style="9" customWidth="1"/>
    <col min="4" max="4" width="15.7109375" style="9" customWidth="1"/>
    <col min="5" max="5" width="16.28515625" style="9" customWidth="1"/>
    <col min="6" max="6" width="10.7109375" style="9" customWidth="1"/>
    <col min="7" max="7" width="10.7109375" customWidth="1"/>
    <col min="8" max="9" width="16.28515625" customWidth="1"/>
    <col min="10" max="10" width="15.7109375" customWidth="1"/>
    <col min="11" max="11" width="16.28515625" customWidth="1"/>
    <col min="12" max="13" width="10.7109375" customWidth="1"/>
    <col min="14" max="15" width="16.28515625" customWidth="1"/>
    <col min="16" max="16" width="15.7109375" customWidth="1"/>
    <col min="17" max="17" width="16" bestFit="1" customWidth="1"/>
    <col min="18" max="18" width="5.28515625" customWidth="1"/>
    <col min="19" max="19" width="9.140625" hidden="1" customWidth="1"/>
    <col min="20" max="20" width="9.5703125" hidden="1" customWidth="1"/>
    <col min="21" max="21" width="9.140625" hidden="1" customWidth="1"/>
    <col min="22" max="22" width="0" hidden="1" customWidth="1"/>
    <col min="23" max="16384" width="9.140625" hidden="1"/>
  </cols>
  <sheetData>
    <row r="1" spans="1:22" s="9" customFormat="1" ht="3" customHeight="1" x14ac:dyDescent="0.2"/>
    <row r="2" spans="1:22" s="9" customFormat="1" ht="14.25" x14ac:dyDescent="0.2"/>
    <row r="3" spans="1:22" s="9" customFormat="1" ht="18" x14ac:dyDescent="0.2">
      <c r="A3" s="150"/>
      <c r="B3" s="430"/>
      <c r="C3" s="430"/>
      <c r="D3" s="430"/>
      <c r="E3" s="430"/>
      <c r="F3" s="43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2" s="9" customFormat="1" ht="14.25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2" s="9" customFormat="1" ht="20.100000000000001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</row>
    <row r="6" spans="1:22" s="9" customFormat="1" ht="14.25" x14ac:dyDescent="0.2"/>
    <row r="7" spans="1:22" s="10" customFormat="1" ht="18.75" x14ac:dyDescent="0.2">
      <c r="B7" s="149" t="s">
        <v>231</v>
      </c>
      <c r="C7" s="11"/>
      <c r="D7" s="11"/>
    </row>
    <row r="8" spans="1:22" s="11" customFormat="1" ht="15" customHeight="1" x14ac:dyDescent="0.2">
      <c r="B8" s="9"/>
      <c r="C8" s="9"/>
      <c r="D8" s="9"/>
      <c r="E8" s="9"/>
      <c r="F8" s="12"/>
    </row>
    <row r="9" spans="1:22" s="11" customFormat="1" ht="15" customHeight="1" x14ac:dyDescent="0.2">
      <c r="A9" s="134"/>
      <c r="B9" s="432" t="s">
        <v>232</v>
      </c>
      <c r="C9" s="432"/>
      <c r="D9" s="432"/>
      <c r="E9" s="432"/>
      <c r="F9" s="143"/>
      <c r="H9" s="432" t="s">
        <v>233</v>
      </c>
      <c r="I9" s="432"/>
      <c r="J9" s="432"/>
      <c r="K9" s="432"/>
    </row>
    <row r="10" spans="1:22" s="11" customFormat="1" ht="15" customHeight="1" x14ac:dyDescent="0.2">
      <c r="A10" s="134"/>
      <c r="B10" s="431" t="s">
        <v>234</v>
      </c>
      <c r="C10" s="431"/>
      <c r="D10" s="431"/>
      <c r="E10" s="431"/>
      <c r="F10" s="144"/>
      <c r="H10" s="431" t="s">
        <v>235</v>
      </c>
      <c r="I10" s="431"/>
      <c r="J10" s="431"/>
      <c r="K10" s="431"/>
    </row>
    <row r="11" spans="1:22" s="11" customFormat="1" ht="14.25" x14ac:dyDescent="0.2">
      <c r="A11" s="134"/>
      <c r="B11" s="431"/>
      <c r="C11" s="431"/>
      <c r="D11" s="431"/>
      <c r="E11" s="431"/>
      <c r="F11" s="144"/>
      <c r="H11" s="431"/>
      <c r="I11" s="431"/>
      <c r="J11" s="431"/>
      <c r="K11" s="431"/>
    </row>
    <row r="12" spans="1:22" s="11" customFormat="1" ht="39.75" customHeight="1" x14ac:dyDescent="0.2">
      <c r="A12" s="134"/>
      <c r="B12" s="362" t="s">
        <v>71</v>
      </c>
      <c r="C12" s="362" t="s">
        <v>236</v>
      </c>
      <c r="D12" s="362" t="s">
        <v>237</v>
      </c>
      <c r="E12" s="362" t="s">
        <v>238</v>
      </c>
      <c r="F12" s="144"/>
      <c r="H12" s="362" t="s">
        <v>71</v>
      </c>
      <c r="I12" s="362" t="s">
        <v>236</v>
      </c>
      <c r="J12" s="362" t="s">
        <v>237</v>
      </c>
      <c r="K12" s="362" t="s">
        <v>238</v>
      </c>
    </row>
    <row r="13" spans="1:22" s="11" customFormat="1" ht="14.25" x14ac:dyDescent="0.2">
      <c r="A13" s="134"/>
      <c r="B13" s="428" t="s">
        <v>239</v>
      </c>
      <c r="C13" s="363" t="s">
        <v>74</v>
      </c>
      <c r="D13" s="433">
        <v>8.82</v>
      </c>
      <c r="E13" s="364">
        <v>3.26</v>
      </c>
      <c r="F13" s="219"/>
      <c r="G13" s="220"/>
      <c r="H13" s="428" t="s">
        <v>239</v>
      </c>
      <c r="I13" s="363" t="s">
        <v>74</v>
      </c>
      <c r="J13" s="433">
        <f>D13*(1+$E$37)</f>
        <v>9.7229983976502243</v>
      </c>
      <c r="K13" s="381">
        <f>E13*(1+$E$37)</f>
        <v>3.5937613125101731</v>
      </c>
      <c r="M13" s="195"/>
      <c r="O13" s="18"/>
    </row>
    <row r="14" spans="1:22" s="11" customFormat="1" ht="15" customHeight="1" x14ac:dyDescent="0.2">
      <c r="A14" s="134"/>
      <c r="B14" s="428"/>
      <c r="C14" s="363" t="s">
        <v>75</v>
      </c>
      <c r="D14" s="433"/>
      <c r="E14" s="364">
        <v>3.91</v>
      </c>
      <c r="F14" s="221"/>
      <c r="G14" s="220"/>
      <c r="H14" s="428"/>
      <c r="I14" s="363" t="s">
        <v>75</v>
      </c>
      <c r="J14" s="433"/>
      <c r="K14" s="381">
        <f>E14*(1+$E$37)</f>
        <v>4.3103088134707912</v>
      </c>
      <c r="M14" s="195"/>
      <c r="O14" s="18"/>
    </row>
    <row r="15" spans="1:22" s="11" customFormat="1" ht="14.25" x14ac:dyDescent="0.2">
      <c r="A15" s="134"/>
      <c r="B15" s="428"/>
      <c r="C15" s="363" t="s">
        <v>76</v>
      </c>
      <c r="D15" s="433"/>
      <c r="E15" s="364">
        <v>7.75</v>
      </c>
      <c r="F15" s="221"/>
      <c r="G15" s="220"/>
      <c r="H15" s="428"/>
      <c r="I15" s="363" t="s">
        <v>76</v>
      </c>
      <c r="J15" s="433"/>
      <c r="K15" s="381">
        <f>E15*(1+$E$37)</f>
        <v>8.5434509729919768</v>
      </c>
      <c r="M15" s="195"/>
      <c r="O15" s="18"/>
    </row>
    <row r="16" spans="1:22" s="9" customFormat="1" ht="15" customHeight="1" x14ac:dyDescent="0.2">
      <c r="A16" s="135"/>
      <c r="B16" s="428"/>
      <c r="C16" s="363" t="s">
        <v>77</v>
      </c>
      <c r="D16" s="433"/>
      <c r="E16" s="364">
        <v>11.24</v>
      </c>
      <c r="F16" s="221"/>
      <c r="G16" s="223"/>
      <c r="H16" s="428"/>
      <c r="I16" s="363" t="s">
        <v>77</v>
      </c>
      <c r="J16" s="433"/>
      <c r="K16" s="381">
        <f t="shared" ref="K16:K33" si="0">E16*(1+$E$37)</f>
        <v>12.390759862765139</v>
      </c>
      <c r="M16" s="195"/>
      <c r="O16" s="18"/>
    </row>
    <row r="17" spans="1:13" s="12" customFormat="1" ht="15" customHeight="1" x14ac:dyDescent="0.2">
      <c r="A17" s="146"/>
      <c r="B17" s="428"/>
      <c r="C17" s="363" t="s">
        <v>78</v>
      </c>
      <c r="D17" s="433"/>
      <c r="E17" s="364">
        <v>16.86</v>
      </c>
      <c r="F17" s="224"/>
      <c r="G17" s="225"/>
      <c r="H17" s="428"/>
      <c r="I17" s="363" t="s">
        <v>78</v>
      </c>
      <c r="J17" s="433"/>
      <c r="K17" s="381">
        <f t="shared" si="0"/>
        <v>18.586139794147705</v>
      </c>
      <c r="M17" s="195"/>
    </row>
    <row r="18" spans="1:13" s="12" customFormat="1" ht="15" customHeight="1" x14ac:dyDescent="0.2">
      <c r="A18" s="146"/>
      <c r="B18" s="428"/>
      <c r="C18" s="363" t="s">
        <v>240</v>
      </c>
      <c r="D18" s="433"/>
      <c r="E18" s="364">
        <v>21.91</v>
      </c>
      <c r="F18" s="224"/>
      <c r="G18" s="225"/>
      <c r="H18" s="428"/>
      <c r="I18" s="363" t="s">
        <v>240</v>
      </c>
      <c r="J18" s="433"/>
      <c r="K18" s="381">
        <f t="shared" si="0"/>
        <v>24.153162686226349</v>
      </c>
      <c r="M18" s="195"/>
    </row>
    <row r="19" spans="1:13" s="9" customFormat="1" ht="15" customHeight="1" x14ac:dyDescent="0.2">
      <c r="A19" s="135"/>
      <c r="B19" s="428" t="s">
        <v>81</v>
      </c>
      <c r="C19" s="363" t="s">
        <v>74</v>
      </c>
      <c r="D19" s="429">
        <v>4.41</v>
      </c>
      <c r="E19" s="364">
        <v>1.63</v>
      </c>
      <c r="F19" s="226"/>
      <c r="G19" s="222"/>
      <c r="H19" s="428" t="s">
        <v>81</v>
      </c>
      <c r="I19" s="363" t="s">
        <v>74</v>
      </c>
      <c r="J19" s="429">
        <f>D19*(1+$E$37)</f>
        <v>4.8614991988251122</v>
      </c>
      <c r="K19" s="381">
        <f t="shared" si="0"/>
        <v>1.7968806562550865</v>
      </c>
      <c r="M19" s="195"/>
    </row>
    <row r="20" spans="1:13" s="9" customFormat="1" ht="15" customHeight="1" x14ac:dyDescent="0.2">
      <c r="A20" s="135"/>
      <c r="B20" s="428"/>
      <c r="C20" s="363" t="s">
        <v>75</v>
      </c>
      <c r="D20" s="429"/>
      <c r="E20" s="364">
        <v>1.96</v>
      </c>
      <c r="F20" s="227"/>
      <c r="G20" s="222"/>
      <c r="H20" s="428"/>
      <c r="I20" s="363" t="s">
        <v>75</v>
      </c>
      <c r="J20" s="429"/>
      <c r="K20" s="381">
        <f t="shared" si="0"/>
        <v>2.1606663105889385</v>
      </c>
      <c r="M20" s="195"/>
    </row>
    <row r="21" spans="1:13" s="9" customFormat="1" ht="15" customHeight="1" x14ac:dyDescent="0.2">
      <c r="A21" s="135"/>
      <c r="B21" s="428"/>
      <c r="C21" s="363" t="s">
        <v>76</v>
      </c>
      <c r="D21" s="429"/>
      <c r="E21" s="364">
        <v>3.88</v>
      </c>
      <c r="F21" s="227"/>
      <c r="G21" s="222"/>
      <c r="H21" s="428"/>
      <c r="I21" s="363" t="s">
        <v>76</v>
      </c>
      <c r="J21" s="429"/>
      <c r="K21" s="381">
        <f t="shared" si="0"/>
        <v>4.2772373903495318</v>
      </c>
      <c r="M21" s="195"/>
    </row>
    <row r="22" spans="1:13" s="9" customFormat="1" ht="15" customHeight="1" x14ac:dyDescent="0.2">
      <c r="A22" s="135"/>
      <c r="B22" s="428"/>
      <c r="C22" s="363" t="s">
        <v>77</v>
      </c>
      <c r="D22" s="429"/>
      <c r="E22" s="364">
        <v>5.62</v>
      </c>
      <c r="F22" s="228"/>
      <c r="G22" s="222"/>
      <c r="H22" s="428"/>
      <c r="I22" s="363" t="s">
        <v>77</v>
      </c>
      <c r="J22" s="429"/>
      <c r="K22" s="381">
        <f t="shared" si="0"/>
        <v>6.1953799313825693</v>
      </c>
      <c r="M22" s="195"/>
    </row>
    <row r="23" spans="1:13" s="9" customFormat="1" ht="15" customHeight="1" x14ac:dyDescent="0.2">
      <c r="A23" s="135"/>
      <c r="B23" s="428"/>
      <c r="C23" s="363" t="s">
        <v>78</v>
      </c>
      <c r="D23" s="429"/>
      <c r="E23" s="364">
        <v>16.86</v>
      </c>
      <c r="F23" s="229"/>
      <c r="G23" s="222"/>
      <c r="H23" s="428"/>
      <c r="I23" s="363" t="s">
        <v>78</v>
      </c>
      <c r="J23" s="429"/>
      <c r="K23" s="381">
        <f t="shared" si="0"/>
        <v>18.586139794147705</v>
      </c>
      <c r="M23" s="195"/>
    </row>
    <row r="24" spans="1:13" s="9" customFormat="1" ht="15" customHeight="1" x14ac:dyDescent="0.2">
      <c r="A24" s="135"/>
      <c r="B24" s="428"/>
      <c r="C24" s="363" t="s">
        <v>240</v>
      </c>
      <c r="D24" s="429"/>
      <c r="E24" s="364">
        <v>21.91</v>
      </c>
      <c r="F24" s="229"/>
      <c r="G24" s="222"/>
      <c r="H24" s="428"/>
      <c r="I24" s="363" t="s">
        <v>240</v>
      </c>
      <c r="J24" s="429"/>
      <c r="K24" s="381">
        <f t="shared" si="0"/>
        <v>24.153162686226349</v>
      </c>
      <c r="M24" s="195"/>
    </row>
    <row r="25" spans="1:13" s="9" customFormat="1" ht="15" customHeight="1" x14ac:dyDescent="0.2">
      <c r="A25" s="135"/>
      <c r="B25" s="428" t="s">
        <v>241</v>
      </c>
      <c r="C25" s="363" t="s">
        <v>82</v>
      </c>
      <c r="D25" s="429">
        <v>23.15</v>
      </c>
      <c r="E25" s="364">
        <v>6.73</v>
      </c>
      <c r="F25" s="229"/>
      <c r="G25" s="222"/>
      <c r="H25" s="428" t="s">
        <v>241</v>
      </c>
      <c r="I25" s="363" t="s">
        <v>82</v>
      </c>
      <c r="J25" s="434">
        <f>D25*(1+$E$37)</f>
        <v>25.520114841905066</v>
      </c>
      <c r="K25" s="381">
        <f t="shared" si="0"/>
        <v>7.4190225868691622</v>
      </c>
      <c r="M25" s="195"/>
    </row>
    <row r="26" spans="1:13" s="9" customFormat="1" ht="15" customHeight="1" x14ac:dyDescent="0.2">
      <c r="A26" s="135"/>
      <c r="B26" s="428"/>
      <c r="C26" s="363" t="s">
        <v>83</v>
      </c>
      <c r="D26" s="429"/>
      <c r="E26" s="364">
        <v>8.41</v>
      </c>
      <c r="F26" s="229"/>
      <c r="G26" s="222"/>
      <c r="H26" s="428"/>
      <c r="I26" s="363" t="s">
        <v>83</v>
      </c>
      <c r="J26" s="435"/>
      <c r="K26" s="381">
        <f t="shared" si="0"/>
        <v>9.2710222816596808</v>
      </c>
      <c r="M26" s="195"/>
    </row>
    <row r="27" spans="1:13" s="9" customFormat="1" ht="15" customHeight="1" x14ac:dyDescent="0.2">
      <c r="A27" s="135"/>
      <c r="B27" s="428"/>
      <c r="C27" s="363" t="s">
        <v>242</v>
      </c>
      <c r="D27" s="429"/>
      <c r="E27" s="364">
        <v>10.85</v>
      </c>
      <c r="F27" s="229"/>
      <c r="G27" s="222"/>
      <c r="H27" s="428"/>
      <c r="I27" s="363" t="s">
        <v>242</v>
      </c>
      <c r="J27" s="435"/>
      <c r="K27" s="381">
        <f t="shared" si="0"/>
        <v>11.960831362188767</v>
      </c>
      <c r="M27" s="195"/>
    </row>
    <row r="28" spans="1:13" s="9" customFormat="1" ht="15" customHeight="1" x14ac:dyDescent="0.2">
      <c r="A28" s="135"/>
      <c r="B28" s="428"/>
      <c r="C28" s="363" t="s">
        <v>243</v>
      </c>
      <c r="D28" s="429"/>
      <c r="E28" s="364">
        <v>13.45</v>
      </c>
      <c r="F28" s="229"/>
      <c r="G28" s="222"/>
      <c r="H28" s="428"/>
      <c r="I28" s="363" t="s">
        <v>243</v>
      </c>
      <c r="J28" s="435"/>
      <c r="K28" s="381">
        <f t="shared" si="0"/>
        <v>14.827021366031236</v>
      </c>
      <c r="M28" s="195"/>
    </row>
    <row r="29" spans="1:13" s="9" customFormat="1" ht="15" customHeight="1" x14ac:dyDescent="0.2">
      <c r="A29" s="135"/>
      <c r="B29" s="428"/>
      <c r="C29" s="363" t="s">
        <v>244</v>
      </c>
      <c r="D29" s="429"/>
      <c r="E29" s="364">
        <v>15.87</v>
      </c>
      <c r="F29" s="229"/>
      <c r="G29" s="222"/>
      <c r="H29" s="428"/>
      <c r="I29" s="363" t="s">
        <v>244</v>
      </c>
      <c r="J29" s="436"/>
      <c r="K29" s="381">
        <f t="shared" si="0"/>
        <v>17.49478283114615</v>
      </c>
      <c r="M29" s="195"/>
    </row>
    <row r="30" spans="1:13" s="9" customFormat="1" ht="15" customHeight="1" x14ac:dyDescent="0.25">
      <c r="A30" s="135"/>
      <c r="B30" s="428" t="s">
        <v>245</v>
      </c>
      <c r="C30" s="363" t="s">
        <v>82</v>
      </c>
      <c r="D30" s="429">
        <v>34.729999999999997</v>
      </c>
      <c r="E30" s="364">
        <v>10.09</v>
      </c>
      <c r="F30" s="230"/>
      <c r="G30" s="222"/>
      <c r="H30" s="428" t="s">
        <v>245</v>
      </c>
      <c r="I30" s="363" t="s">
        <v>82</v>
      </c>
      <c r="J30" s="429">
        <f>D30*(1+$E$37)</f>
        <v>38.285684166711135</v>
      </c>
      <c r="K30" s="381">
        <f t="shared" si="0"/>
        <v>11.123021976450199</v>
      </c>
      <c r="M30" s="195"/>
    </row>
    <row r="31" spans="1:13" s="12" customFormat="1" ht="15" customHeight="1" x14ac:dyDescent="0.2">
      <c r="A31" s="146"/>
      <c r="B31" s="428"/>
      <c r="C31" s="363" t="s">
        <v>83</v>
      </c>
      <c r="D31" s="429"/>
      <c r="E31" s="364">
        <v>12.61</v>
      </c>
      <c r="F31" s="231"/>
      <c r="G31" s="225"/>
      <c r="H31" s="428"/>
      <c r="I31" s="363" t="s">
        <v>83</v>
      </c>
      <c r="J31" s="429"/>
      <c r="K31" s="381">
        <f t="shared" si="0"/>
        <v>13.901021518635977</v>
      </c>
      <c r="M31" s="195"/>
    </row>
    <row r="32" spans="1:13" ht="15" x14ac:dyDescent="0.25">
      <c r="A32" s="134"/>
      <c r="B32" s="428"/>
      <c r="C32" s="363" t="s">
        <v>242</v>
      </c>
      <c r="D32" s="429"/>
      <c r="E32" s="364">
        <v>16.27</v>
      </c>
      <c r="F32" s="81"/>
      <c r="G32" s="232"/>
      <c r="H32" s="428"/>
      <c r="I32" s="363" t="s">
        <v>242</v>
      </c>
      <c r="J32" s="429"/>
      <c r="K32" s="381">
        <f t="shared" si="0"/>
        <v>17.935735139429607</v>
      </c>
      <c r="M32" s="195"/>
    </row>
    <row r="33" spans="1:13" ht="15" customHeight="1" x14ac:dyDescent="0.25">
      <c r="A33" s="134"/>
      <c r="B33" s="428"/>
      <c r="C33" s="363" t="s">
        <v>243</v>
      </c>
      <c r="D33" s="429"/>
      <c r="E33" s="364">
        <v>20.170000000000002</v>
      </c>
      <c r="F33" s="233"/>
      <c r="G33" s="232"/>
      <c r="H33" s="428"/>
      <c r="I33" s="363" t="s">
        <v>243</v>
      </c>
      <c r="J33" s="429"/>
      <c r="K33" s="381">
        <f t="shared" si="0"/>
        <v>22.235020145193314</v>
      </c>
      <c r="M33" s="195"/>
    </row>
    <row r="34" spans="1:13" ht="15" x14ac:dyDescent="0.25">
      <c r="A34" s="1"/>
      <c r="B34" s="428"/>
      <c r="C34" s="363" t="s">
        <v>244</v>
      </c>
      <c r="D34" s="429"/>
      <c r="E34" s="364">
        <v>23.8</v>
      </c>
      <c r="F34" s="222"/>
      <c r="G34" s="232"/>
      <c r="H34" s="428"/>
      <c r="I34" s="363" t="s">
        <v>244</v>
      </c>
      <c r="J34" s="429"/>
      <c r="K34" s="381">
        <f>E34*(1+$E$37)</f>
        <v>26.236662342865685</v>
      </c>
      <c r="M34" s="195"/>
    </row>
    <row r="35" spans="1:13" s="236" customFormat="1" ht="15" customHeight="1" x14ac:dyDescent="0.2">
      <c r="A35" s="234"/>
      <c r="B35" s="218" t="s">
        <v>246</v>
      </c>
      <c r="C35" s="158"/>
      <c r="D35" s="159"/>
      <c r="E35" s="160"/>
      <c r="F35" s="235"/>
    </row>
    <row r="36" spans="1:13" ht="18.75" x14ac:dyDescent="0.25">
      <c r="A36" s="1"/>
      <c r="B36" s="155"/>
      <c r="C36" s="155"/>
      <c r="D36" s="156"/>
      <c r="E36" s="157"/>
      <c r="G36" s="86"/>
      <c r="H36" s="149"/>
      <c r="I36" s="11"/>
    </row>
    <row r="37" spans="1:13" ht="15.75" x14ac:dyDescent="0.25">
      <c r="A37" s="1"/>
      <c r="B37" s="426" t="s">
        <v>230</v>
      </c>
      <c r="C37" s="427"/>
      <c r="D37" s="427"/>
      <c r="E37" s="372">
        <f>'RTA 2023'!D25</f>
        <v>0.10238077070864215</v>
      </c>
      <c r="F37" s="378"/>
      <c r="G37" s="27"/>
      <c r="H37" s="27"/>
    </row>
    <row r="38" spans="1:13" ht="15" customHeight="1" x14ac:dyDescent="0.25">
      <c r="E38" s="199"/>
      <c r="G38" s="86"/>
      <c r="H38" s="87"/>
      <c r="I38" s="12"/>
    </row>
    <row r="39" spans="1:13" ht="15" customHeight="1" x14ac:dyDescent="0.25">
      <c r="G39" s="86"/>
      <c r="H39" s="87"/>
      <c r="I39" s="9"/>
    </row>
    <row r="40" spans="1:13" ht="15" hidden="1" customHeight="1" x14ac:dyDescent="0.25">
      <c r="G40" s="135"/>
      <c r="H40" s="135"/>
      <c r="I40" s="9"/>
    </row>
    <row r="41" spans="1:13" ht="15" hidden="1" customHeight="1" x14ac:dyDescent="0.25">
      <c r="G41" s="109"/>
      <c r="H41" s="109"/>
      <c r="I41" s="9"/>
    </row>
    <row r="42" spans="1:13" ht="15" hidden="1" customHeight="1" x14ac:dyDescent="0.25">
      <c r="G42" s="86"/>
      <c r="H42" s="145"/>
      <c r="I42" s="9"/>
    </row>
    <row r="43" spans="1:13" ht="15" hidden="1" customHeight="1" x14ac:dyDescent="0.25">
      <c r="G43" s="86"/>
      <c r="H43" s="145"/>
      <c r="I43" s="9"/>
    </row>
    <row r="44" spans="1:13" ht="15" hidden="1" customHeight="1" x14ac:dyDescent="0.25">
      <c r="G44" s="86"/>
      <c r="H44" s="145"/>
      <c r="I44" s="9"/>
    </row>
    <row r="45" spans="1:13" ht="15" hidden="1" customHeight="1" x14ac:dyDescent="0.25">
      <c r="G45" s="86"/>
      <c r="H45" s="145"/>
      <c r="I45" s="9"/>
    </row>
    <row r="46" spans="1:13" ht="15" hidden="1" customHeight="1" x14ac:dyDescent="0.25">
      <c r="G46" s="86"/>
      <c r="H46" s="145"/>
      <c r="I46" s="9"/>
    </row>
    <row r="47" spans="1:13" ht="15" hidden="1" customHeight="1" x14ac:dyDescent="0.25">
      <c r="G47" s="86"/>
      <c r="H47" s="87"/>
      <c r="I47" s="9"/>
    </row>
    <row r="48" spans="1:13" ht="15" hidden="1" customHeight="1" x14ac:dyDescent="0.25">
      <c r="G48" s="86"/>
      <c r="H48" s="87"/>
      <c r="I48" s="9"/>
    </row>
    <row r="49" spans="7:9" ht="15" hidden="1" customHeight="1" x14ac:dyDescent="0.25">
      <c r="G49" s="86"/>
      <c r="H49" s="87"/>
      <c r="I49" s="77"/>
    </row>
    <row r="50" spans="7:9" ht="15" hidden="1" customHeight="1" x14ac:dyDescent="0.25">
      <c r="G50" s="130"/>
      <c r="H50" s="147"/>
      <c r="I50" s="9"/>
    </row>
    <row r="51" spans="7:9" ht="15" hidden="1" customHeight="1" x14ac:dyDescent="0.25">
      <c r="G51" s="22"/>
      <c r="H51" s="148"/>
      <c r="I51" s="78"/>
    </row>
    <row r="52" spans="7:9" ht="15" hidden="1" customHeight="1" x14ac:dyDescent="0.25">
      <c r="G52" s="22"/>
      <c r="H52" s="133"/>
    </row>
    <row r="53" spans="7:9" ht="15" hidden="1" customHeight="1" x14ac:dyDescent="0.25">
      <c r="G53" s="22"/>
      <c r="H53" s="22"/>
    </row>
    <row r="54" spans="7:9" ht="15" hidden="1" customHeight="1" x14ac:dyDescent="0.25">
      <c r="I54" s="79"/>
    </row>
    <row r="55" spans="7:9" ht="15" hidden="1" customHeight="1" x14ac:dyDescent="0.25">
      <c r="I55" s="79"/>
    </row>
    <row r="56" spans="7:9" ht="15" hidden="1" customHeight="1" x14ac:dyDescent="0.25">
      <c r="I56" s="79"/>
    </row>
    <row r="57" spans="7:9" ht="15" hidden="1" customHeight="1" x14ac:dyDescent="0.25"/>
    <row r="58" spans="7:9" ht="15" hidden="1" customHeight="1" x14ac:dyDescent="0.25">
      <c r="G58" s="82"/>
      <c r="H58" s="82"/>
    </row>
    <row r="59" spans="7:9" ht="15" hidden="1" customHeight="1" x14ac:dyDescent="0.25">
      <c r="H59" s="82"/>
    </row>
    <row r="60" spans="7:9" ht="15" hidden="1" customHeight="1" x14ac:dyDescent="0.25">
      <c r="I60" s="81"/>
    </row>
    <row r="61" spans="7:9" ht="15" hidden="1" customHeight="1" x14ac:dyDescent="0.25">
      <c r="I61" s="84"/>
    </row>
    <row r="62" spans="7:9" ht="15" hidden="1" customHeight="1" x14ac:dyDescent="0.25">
      <c r="I62" s="85"/>
    </row>
    <row r="63" spans="7:9" ht="15" hidden="1" customHeight="1" x14ac:dyDescent="0.25"/>
  </sheetData>
  <mergeCells count="22">
    <mergeCell ref="H25:H29"/>
    <mergeCell ref="J25:J29"/>
    <mergeCell ref="H30:H34"/>
    <mergeCell ref="J30:J34"/>
    <mergeCell ref="H9:K9"/>
    <mergeCell ref="H10:K11"/>
    <mergeCell ref="H13:H18"/>
    <mergeCell ref="J13:J18"/>
    <mergeCell ref="H19:H24"/>
    <mergeCell ref="J19:J24"/>
    <mergeCell ref="B37:D37"/>
    <mergeCell ref="B25:B29"/>
    <mergeCell ref="D25:D29"/>
    <mergeCell ref="B30:B34"/>
    <mergeCell ref="D30:D34"/>
    <mergeCell ref="B19:B24"/>
    <mergeCell ref="D19:D24"/>
    <mergeCell ref="B3:F3"/>
    <mergeCell ref="B10:E11"/>
    <mergeCell ref="B9:E9"/>
    <mergeCell ref="B13:B18"/>
    <mergeCell ref="D13:D18"/>
  </mergeCells>
  <hyperlinks>
    <hyperlink ref="B35" r:id="rId1" xr:uid="{2655D4D7-9DA5-4E65-AAFF-6417C42AB160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8AA0-887A-4678-8F17-FB758A0554A6}">
  <sheetPr>
    <tabColor theme="6" tint="0.59999389629810485"/>
  </sheetPr>
  <dimension ref="A1:J96"/>
  <sheetViews>
    <sheetView topLeftCell="A7" zoomScale="90" zoomScaleNormal="90" workbookViewId="0">
      <selection activeCell="H52" sqref="H52"/>
    </sheetView>
  </sheetViews>
  <sheetFormatPr defaultColWidth="0" defaultRowHeight="0" customHeight="1" zeroHeight="1" outlineLevelRow="1" x14ac:dyDescent="0.25"/>
  <cols>
    <col min="1" max="1" width="2.28515625" style="22" customWidth="1"/>
    <col min="2" max="2" width="1.42578125" style="22" customWidth="1"/>
    <col min="3" max="3" width="2.140625" style="22" customWidth="1"/>
    <col min="4" max="4" width="65.85546875" style="22" bestFit="1" customWidth="1"/>
    <col min="5" max="5" width="17" style="22" customWidth="1"/>
    <col min="6" max="6" width="2.140625" style="22" customWidth="1"/>
    <col min="7" max="7" width="1.42578125" style="22" customWidth="1"/>
    <col min="8" max="8" width="17.42578125" style="22" customWidth="1"/>
    <col min="9" max="10" width="0" style="22" hidden="1" customWidth="1"/>
    <col min="11" max="16384" width="9.140625" style="22" hidden="1"/>
  </cols>
  <sheetData>
    <row r="1" spans="2:9" ht="9" customHeight="1" x14ac:dyDescent="0.25"/>
    <row r="2" spans="2:9" ht="20.25" x14ac:dyDescent="0.3">
      <c r="C2" s="31"/>
      <c r="D2" s="32" t="s">
        <v>247</v>
      </c>
      <c r="E2" s="31"/>
      <c r="F2" s="31"/>
      <c r="G2" s="31"/>
      <c r="H2" s="33"/>
      <c r="I2" s="33"/>
    </row>
    <row r="3" spans="2:9" ht="20.25" x14ac:dyDescent="0.3">
      <c r="C3" s="31"/>
      <c r="D3" s="32" t="s">
        <v>248</v>
      </c>
      <c r="E3" s="31"/>
      <c r="F3" s="31"/>
      <c r="G3" s="31"/>
      <c r="H3" s="33"/>
      <c r="I3" s="33"/>
    </row>
    <row r="4" spans="2:9" ht="20.25" x14ac:dyDescent="0.3">
      <c r="C4" s="31"/>
      <c r="D4" s="34" t="s">
        <v>249</v>
      </c>
      <c r="E4" s="31"/>
      <c r="F4" s="31"/>
      <c r="G4" s="31"/>
      <c r="H4" s="33"/>
      <c r="I4" s="33"/>
    </row>
    <row r="5" spans="2:9" ht="8.4499999999999993" customHeight="1" x14ac:dyDescent="0.3">
      <c r="C5" s="31"/>
      <c r="D5" s="35"/>
      <c r="E5" s="36"/>
      <c r="F5" s="31"/>
      <c r="G5" s="31"/>
      <c r="H5" s="37"/>
      <c r="I5" s="37"/>
    </row>
    <row r="6" spans="2:9" ht="15" customHeight="1" x14ac:dyDescent="0.3">
      <c r="C6" s="33"/>
      <c r="D6" s="38"/>
      <c r="E6" s="39"/>
      <c r="F6" s="33"/>
      <c r="H6" s="37"/>
      <c r="I6" s="37"/>
    </row>
    <row r="7" spans="2:9" ht="4.9000000000000004" customHeight="1" x14ac:dyDescent="0.25">
      <c r="B7" s="40"/>
      <c r="C7" s="41"/>
      <c r="D7" s="42"/>
      <c r="E7" s="42"/>
      <c r="F7" s="41"/>
      <c r="G7" s="43"/>
      <c r="H7" s="37"/>
      <c r="I7" s="37"/>
    </row>
    <row r="8" spans="2:9" ht="15" x14ac:dyDescent="0.25">
      <c r="B8" s="44"/>
      <c r="C8" s="437" t="s">
        <v>249</v>
      </c>
      <c r="D8" s="437"/>
      <c r="E8" s="437"/>
      <c r="F8" s="437"/>
      <c r="G8" s="45"/>
      <c r="H8" s="37"/>
      <c r="I8" s="37"/>
    </row>
    <row r="9" spans="2:9" ht="7.9" customHeight="1" thickBot="1" x14ac:dyDescent="0.3">
      <c r="B9" s="44"/>
      <c r="D9" s="46"/>
      <c r="E9" s="47"/>
      <c r="G9" s="45"/>
      <c r="H9" s="46"/>
      <c r="I9" s="46"/>
    </row>
    <row r="10" spans="2:9" ht="9" customHeight="1" x14ac:dyDescent="0.25">
      <c r="B10" s="44"/>
      <c r="C10" s="48"/>
      <c r="D10" s="49"/>
      <c r="E10" s="49"/>
      <c r="F10" s="50"/>
      <c r="G10" s="45"/>
      <c r="H10" s="37"/>
      <c r="I10" s="37"/>
    </row>
    <row r="11" spans="2:9" ht="15" outlineLevel="1" x14ac:dyDescent="0.25">
      <c r="B11" s="44"/>
      <c r="C11" s="51"/>
      <c r="D11" s="52" t="s">
        <v>250</v>
      </c>
      <c r="E11" s="53" t="s">
        <v>251</v>
      </c>
      <c r="F11" s="54"/>
      <c r="G11" s="45"/>
      <c r="H11" s="46"/>
      <c r="I11" s="46"/>
    </row>
    <row r="12" spans="2:9" ht="6" customHeight="1" outlineLevel="1" x14ac:dyDescent="0.25">
      <c r="B12" s="44"/>
      <c r="C12" s="51"/>
      <c r="D12" s="46"/>
      <c r="E12" s="46"/>
      <c r="F12" s="54"/>
      <c r="G12" s="45"/>
      <c r="H12" s="46"/>
      <c r="I12" s="46"/>
    </row>
    <row r="13" spans="2:9" ht="15" outlineLevel="1" x14ac:dyDescent="0.25">
      <c r="B13" s="44"/>
      <c r="C13" s="51"/>
      <c r="D13" s="55" t="s">
        <v>252</v>
      </c>
      <c r="E13" s="56">
        <v>8745137.3760000002</v>
      </c>
      <c r="F13" s="54"/>
      <c r="G13" s="45"/>
      <c r="H13" s="46"/>
      <c r="I13" s="46"/>
    </row>
    <row r="14" spans="2:9" ht="15" outlineLevel="1" x14ac:dyDescent="0.25">
      <c r="B14" s="44"/>
      <c r="C14" s="51"/>
      <c r="D14" s="57" t="s">
        <v>253</v>
      </c>
      <c r="E14" s="56">
        <v>17715101.848200001</v>
      </c>
      <c r="F14" s="54"/>
      <c r="G14" s="45"/>
      <c r="H14" s="46"/>
      <c r="I14" s="46"/>
    </row>
    <row r="15" spans="2:9" ht="15" outlineLevel="1" x14ac:dyDescent="0.25">
      <c r="B15" s="44"/>
      <c r="C15" s="51"/>
      <c r="D15" s="57" t="s">
        <v>254</v>
      </c>
      <c r="E15" s="56">
        <v>56285625.59549053</v>
      </c>
      <c r="F15" s="54"/>
      <c r="G15" s="45"/>
      <c r="H15" s="46"/>
      <c r="I15" s="46"/>
    </row>
    <row r="16" spans="2:9" ht="15" outlineLevel="1" x14ac:dyDescent="0.25">
      <c r="B16" s="44"/>
      <c r="C16" s="51"/>
      <c r="D16" s="57" t="s">
        <v>255</v>
      </c>
      <c r="E16" s="56">
        <v>60000</v>
      </c>
      <c r="F16" s="54"/>
      <c r="G16" s="45"/>
      <c r="H16" s="46"/>
      <c r="I16" s="46"/>
    </row>
    <row r="17" spans="2:9" ht="15" outlineLevel="1" x14ac:dyDescent="0.25">
      <c r="B17" s="44"/>
      <c r="C17" s="51"/>
      <c r="D17" s="57" t="s">
        <v>256</v>
      </c>
      <c r="E17" s="56">
        <v>7210047.9100000001</v>
      </c>
      <c r="F17" s="54"/>
      <c r="G17" s="45"/>
      <c r="H17" s="46"/>
      <c r="I17" s="46"/>
    </row>
    <row r="18" spans="2:9" ht="15" outlineLevel="1" x14ac:dyDescent="0.25">
      <c r="B18" s="44"/>
      <c r="C18" s="51"/>
      <c r="D18" s="57" t="s">
        <v>257</v>
      </c>
      <c r="E18" s="58">
        <v>-5.6000000000000001E-2</v>
      </c>
      <c r="F18" s="54"/>
      <c r="G18" s="45"/>
      <c r="H18" s="46"/>
      <c r="I18" s="46"/>
    </row>
    <row r="19" spans="2:9" ht="6" customHeight="1" outlineLevel="1" thickBot="1" x14ac:dyDescent="0.3">
      <c r="B19" s="44"/>
      <c r="C19" s="51"/>
      <c r="D19" s="46"/>
      <c r="E19" s="46"/>
      <c r="F19" s="54"/>
      <c r="G19" s="45"/>
      <c r="H19" s="46"/>
      <c r="I19" s="46"/>
    </row>
    <row r="20" spans="2:9" ht="15" x14ac:dyDescent="0.25">
      <c r="B20" s="44"/>
      <c r="C20" s="51"/>
      <c r="D20" s="59" t="s">
        <v>258</v>
      </c>
      <c r="E20" s="60">
        <f>SUM(E13:E17)*(1+E18)</f>
        <v>84975021.616827846</v>
      </c>
      <c r="F20" s="54"/>
      <c r="G20" s="45"/>
      <c r="H20" s="46"/>
      <c r="I20" s="46"/>
    </row>
    <row r="21" spans="2:9" ht="7.5" customHeight="1" x14ac:dyDescent="0.25">
      <c r="B21" s="44"/>
      <c r="C21" s="51"/>
      <c r="D21" s="46"/>
      <c r="E21" s="47"/>
      <c r="F21" s="54"/>
      <c r="G21" s="45"/>
      <c r="H21" s="46"/>
      <c r="I21" s="46"/>
    </row>
    <row r="22" spans="2:9" ht="15" outlineLevel="1" x14ac:dyDescent="0.25">
      <c r="B22" s="44"/>
      <c r="C22" s="51"/>
      <c r="D22" s="52" t="s">
        <v>259</v>
      </c>
      <c r="E22" s="53" t="s">
        <v>251</v>
      </c>
      <c r="F22" s="54"/>
      <c r="G22" s="45"/>
      <c r="H22" s="46"/>
      <c r="I22" s="46"/>
    </row>
    <row r="23" spans="2:9" ht="6" customHeight="1" outlineLevel="1" x14ac:dyDescent="0.25">
      <c r="B23" s="44"/>
      <c r="C23" s="51"/>
      <c r="D23" s="46"/>
      <c r="E23" s="46"/>
      <c r="F23" s="54"/>
      <c r="G23" s="45"/>
      <c r="H23" s="46"/>
      <c r="I23" s="46"/>
    </row>
    <row r="24" spans="2:9" ht="15" outlineLevel="1" x14ac:dyDescent="0.25">
      <c r="B24" s="44"/>
      <c r="C24" s="51"/>
      <c r="D24" s="61" t="s">
        <v>260</v>
      </c>
      <c r="E24" s="62">
        <f>SUM(E25:E31)</f>
        <v>1052594893.9816717</v>
      </c>
      <c r="F24" s="54"/>
      <c r="G24" s="45"/>
      <c r="H24" s="46"/>
      <c r="I24" s="46"/>
    </row>
    <row r="25" spans="2:9" ht="15" outlineLevel="1" x14ac:dyDescent="0.25">
      <c r="B25" s="44"/>
      <c r="C25" s="51"/>
      <c r="D25" s="63" t="s">
        <v>261</v>
      </c>
      <c r="E25" s="56">
        <v>545977869.68037164</v>
      </c>
      <c r="F25" s="54"/>
      <c r="G25" s="45"/>
      <c r="H25" s="176"/>
      <c r="I25" s="46"/>
    </row>
    <row r="26" spans="2:9" ht="15" outlineLevel="1" x14ac:dyDescent="0.25">
      <c r="B26" s="44"/>
      <c r="C26" s="51"/>
      <c r="D26" s="63" t="s">
        <v>262</v>
      </c>
      <c r="E26" s="56">
        <v>269525064.10340005</v>
      </c>
      <c r="F26" s="54"/>
      <c r="G26" s="45"/>
      <c r="H26" s="46"/>
      <c r="I26" s="46"/>
    </row>
    <row r="27" spans="2:9" ht="15" outlineLevel="1" x14ac:dyDescent="0.25">
      <c r="B27" s="44"/>
      <c r="C27" s="51"/>
      <c r="D27" s="63" t="s">
        <v>263</v>
      </c>
      <c r="E27" s="56">
        <v>77387004.115399957</v>
      </c>
      <c r="F27" s="54"/>
      <c r="G27" s="45"/>
      <c r="H27" s="176"/>
      <c r="I27" s="46"/>
    </row>
    <row r="28" spans="2:9" ht="15" outlineLevel="1" x14ac:dyDescent="0.25">
      <c r="B28" s="44"/>
      <c r="C28" s="51"/>
      <c r="D28" s="63" t="s">
        <v>264</v>
      </c>
      <c r="E28" s="56">
        <v>3148267.4724999992</v>
      </c>
      <c r="F28" s="54"/>
      <c r="G28" s="45"/>
      <c r="H28" s="46"/>
      <c r="I28" s="46"/>
    </row>
    <row r="29" spans="2:9" ht="15" outlineLevel="1" x14ac:dyDescent="0.25">
      <c r="B29" s="44"/>
      <c r="C29" s="51"/>
      <c r="D29" s="63" t="s">
        <v>265</v>
      </c>
      <c r="E29" s="56">
        <v>5033751.62</v>
      </c>
      <c r="F29" s="54"/>
      <c r="G29" s="45"/>
      <c r="H29" s="46"/>
      <c r="I29" s="46"/>
    </row>
    <row r="30" spans="2:9" ht="15" outlineLevel="1" x14ac:dyDescent="0.25">
      <c r="B30" s="44"/>
      <c r="C30" s="51"/>
      <c r="D30" s="63" t="s">
        <v>266</v>
      </c>
      <c r="E30" s="56">
        <v>7536551.1500000004</v>
      </c>
      <c r="F30" s="54"/>
      <c r="G30" s="45"/>
      <c r="H30" s="46"/>
      <c r="I30" s="46"/>
    </row>
    <row r="31" spans="2:9" ht="15" outlineLevel="1" x14ac:dyDescent="0.25">
      <c r="B31" s="44"/>
      <c r="C31" s="51"/>
      <c r="D31" s="63" t="s">
        <v>267</v>
      </c>
      <c r="E31" s="56">
        <v>143986385.84</v>
      </c>
      <c r="F31" s="54"/>
      <c r="G31" s="45"/>
      <c r="H31" s="176"/>
      <c r="I31" s="46"/>
    </row>
    <row r="32" spans="2:9" ht="6" customHeight="1" outlineLevel="1" x14ac:dyDescent="0.25">
      <c r="B32" s="44"/>
      <c r="C32" s="51"/>
      <c r="D32" s="46"/>
      <c r="E32" s="46"/>
      <c r="F32" s="54"/>
      <c r="G32" s="45"/>
      <c r="H32" s="46"/>
      <c r="I32" s="46"/>
    </row>
    <row r="33" spans="2:9" ht="15" outlineLevel="1" x14ac:dyDescent="0.25">
      <c r="B33" s="44"/>
      <c r="C33" s="51"/>
      <c r="D33" s="61" t="s">
        <v>268</v>
      </c>
      <c r="E33" s="62">
        <v>12110982.2060019</v>
      </c>
      <c r="F33" s="54"/>
      <c r="G33" s="45">
        <f>SUM(E26,E28,E29,E30,E33)</f>
        <v>297354616.55190194</v>
      </c>
      <c r="H33" s="46"/>
      <c r="I33" s="46"/>
    </row>
    <row r="34" spans="2:9" ht="6" customHeight="1" outlineLevel="1" x14ac:dyDescent="0.25">
      <c r="B34" s="44"/>
      <c r="C34" s="51"/>
      <c r="D34" s="46"/>
      <c r="E34" s="46"/>
      <c r="F34" s="54"/>
      <c r="G34" s="45"/>
      <c r="H34" s="46"/>
      <c r="I34" s="46"/>
    </row>
    <row r="35" spans="2:9" ht="15" outlineLevel="1" x14ac:dyDescent="0.25">
      <c r="B35" s="44"/>
      <c r="C35" s="51"/>
      <c r="D35" s="61" t="s">
        <v>269</v>
      </c>
      <c r="E35" s="62">
        <f>SUM(E36:E38)</f>
        <v>444247572.68777007</v>
      </c>
      <c r="F35" s="54"/>
      <c r="G35" s="45"/>
      <c r="H35" s="176"/>
      <c r="I35" s="46"/>
    </row>
    <row r="36" spans="2:9" ht="15" outlineLevel="1" x14ac:dyDescent="0.25">
      <c r="B36" s="44"/>
      <c r="C36" s="51"/>
      <c r="D36" s="63" t="s">
        <v>270</v>
      </c>
      <c r="E36" s="56">
        <v>320705182.41755182</v>
      </c>
      <c r="F36" s="54"/>
      <c r="G36" s="45"/>
      <c r="H36" s="197"/>
      <c r="I36" s="46"/>
    </row>
    <row r="37" spans="2:9" ht="15" outlineLevel="1" x14ac:dyDescent="0.25">
      <c r="B37" s="44"/>
      <c r="C37" s="51"/>
      <c r="D37" s="63" t="s">
        <v>271</v>
      </c>
      <c r="E37" s="56">
        <v>122566773.09510241</v>
      </c>
      <c r="F37" s="54"/>
      <c r="G37" s="45"/>
      <c r="H37" s="46"/>
      <c r="I37" s="46"/>
    </row>
    <row r="38" spans="2:9" ht="15" outlineLevel="1" x14ac:dyDescent="0.25">
      <c r="B38" s="44"/>
      <c r="C38" s="51"/>
      <c r="D38" s="63" t="s">
        <v>272</v>
      </c>
      <c r="E38" s="56">
        <v>975617.17511583015</v>
      </c>
      <c r="F38" s="54"/>
      <c r="G38" s="45"/>
      <c r="H38" s="46"/>
      <c r="I38" s="46"/>
    </row>
    <row r="39" spans="2:9" ht="15" outlineLevel="1" x14ac:dyDescent="0.25">
      <c r="B39" s="44"/>
      <c r="C39" s="51"/>
      <c r="D39" s="57" t="s">
        <v>257</v>
      </c>
      <c r="E39" s="58">
        <v>-5.6000000000000001E-2</v>
      </c>
      <c r="F39" s="54"/>
      <c r="G39" s="45"/>
      <c r="H39" s="46"/>
      <c r="I39" s="46"/>
    </row>
    <row r="40" spans="2:9" ht="6" customHeight="1" outlineLevel="1" thickBot="1" x14ac:dyDescent="0.3">
      <c r="B40" s="44"/>
      <c r="C40" s="51"/>
      <c r="D40" s="46"/>
      <c r="E40" s="46"/>
      <c r="F40" s="54"/>
      <c r="G40" s="45"/>
      <c r="H40" s="46"/>
      <c r="I40" s="46"/>
    </row>
    <row r="41" spans="2:9" ht="15" x14ac:dyDescent="0.25">
      <c r="B41" s="44"/>
      <c r="C41" s="51"/>
      <c r="D41" s="59" t="s">
        <v>273</v>
      </c>
      <c r="E41" s="60">
        <f>SUM(E24,E35)*(1+E39)+E33</f>
        <v>1425130270.7419548</v>
      </c>
      <c r="F41" s="54"/>
      <c r="G41" s="45"/>
      <c r="H41" s="175"/>
      <c r="I41" s="46"/>
    </row>
    <row r="42" spans="2:9" ht="9.75" customHeight="1" thickBot="1" x14ac:dyDescent="0.3">
      <c r="B42" s="44"/>
      <c r="C42" s="51"/>
      <c r="D42" s="64"/>
      <c r="E42" s="62"/>
      <c r="F42" s="54"/>
      <c r="G42" s="45"/>
      <c r="H42" s="46"/>
      <c r="I42" s="46"/>
    </row>
    <row r="43" spans="2:9" ht="15" x14ac:dyDescent="0.25">
      <c r="B43" s="44"/>
      <c r="C43" s="51"/>
      <c r="D43" s="65" t="s">
        <v>249</v>
      </c>
      <c r="E43" s="66" t="s">
        <v>251</v>
      </c>
      <c r="F43" s="54"/>
      <c r="G43" s="45"/>
      <c r="H43" s="46"/>
      <c r="I43" s="46"/>
    </row>
    <row r="44" spans="2:9" ht="6" customHeight="1" x14ac:dyDescent="0.25">
      <c r="B44" s="44"/>
      <c r="C44" s="51"/>
      <c r="D44" s="46"/>
      <c r="E44" s="47"/>
      <c r="F44" s="54"/>
      <c r="G44" s="45"/>
      <c r="H44" s="46"/>
      <c r="I44" s="46"/>
    </row>
    <row r="45" spans="2:9" ht="15" x14ac:dyDescent="0.25">
      <c r="B45" s="44"/>
      <c r="C45" s="51"/>
      <c r="D45" s="55" t="s">
        <v>274</v>
      </c>
      <c r="E45" s="56">
        <f>E20+E41</f>
        <v>1510105292.3587828</v>
      </c>
      <c r="F45" s="54"/>
      <c r="G45" s="45"/>
      <c r="H45" s="46"/>
      <c r="I45" s="46"/>
    </row>
    <row r="46" spans="2:9" ht="6" customHeight="1" x14ac:dyDescent="0.25">
      <c r="B46" s="44"/>
      <c r="C46" s="51"/>
      <c r="D46" s="46"/>
      <c r="E46" s="47"/>
      <c r="F46" s="54"/>
      <c r="G46" s="45"/>
      <c r="H46" s="46"/>
      <c r="I46" s="46"/>
    </row>
    <row r="47" spans="2:9" ht="15" x14ac:dyDescent="0.25">
      <c r="B47" s="44"/>
      <c r="C47" s="51"/>
      <c r="D47" s="57" t="s">
        <v>275</v>
      </c>
      <c r="E47" s="56">
        <v>-13556471.782993143</v>
      </c>
      <c r="F47" s="54"/>
      <c r="G47" s="45"/>
      <c r="H47" s="46"/>
      <c r="I47" s="46"/>
    </row>
    <row r="48" spans="2:9" ht="6" customHeight="1" x14ac:dyDescent="0.25">
      <c r="B48" s="44"/>
      <c r="C48" s="51"/>
      <c r="D48" s="46"/>
      <c r="E48" s="47"/>
      <c r="F48" s="54"/>
      <c r="G48" s="45"/>
      <c r="H48" s="46"/>
      <c r="I48" s="46"/>
    </row>
    <row r="49" spans="2:9" ht="15" x14ac:dyDescent="0.25">
      <c r="B49" s="44"/>
      <c r="C49" s="51"/>
      <c r="D49" s="55" t="s">
        <v>276</v>
      </c>
      <c r="E49" s="56">
        <f>(E45+E47)</f>
        <v>1496548820.5757897</v>
      </c>
      <c r="F49" s="54"/>
      <c r="G49" s="45"/>
      <c r="H49" s="46"/>
      <c r="I49" s="46"/>
    </row>
    <row r="50" spans="2:9" ht="6" customHeight="1" x14ac:dyDescent="0.25">
      <c r="B50" s="44"/>
      <c r="C50" s="51"/>
      <c r="D50" s="46"/>
      <c r="E50" s="47"/>
      <c r="F50" s="54"/>
      <c r="G50" s="45"/>
      <c r="H50" s="46"/>
      <c r="I50" s="46"/>
    </row>
    <row r="51" spans="2:9" ht="15" x14ac:dyDescent="0.25">
      <c r="B51" s="44"/>
      <c r="C51" s="51"/>
      <c r="D51" s="55" t="s">
        <v>277</v>
      </c>
      <c r="E51" s="56">
        <v>1564407614.491673</v>
      </c>
      <c r="F51" s="54"/>
      <c r="G51" s="45"/>
      <c r="H51" s="46"/>
      <c r="I51" s="46"/>
    </row>
    <row r="52" spans="2:9" ht="6" customHeight="1" x14ac:dyDescent="0.25">
      <c r="B52" s="44"/>
      <c r="C52" s="51"/>
      <c r="D52" s="46"/>
      <c r="E52" s="47"/>
      <c r="F52" s="54"/>
      <c r="G52" s="45"/>
      <c r="H52" s="46"/>
      <c r="I52" s="46"/>
    </row>
    <row r="53" spans="2:9" ht="15" x14ac:dyDescent="0.25">
      <c r="B53" s="44"/>
      <c r="C53" s="51"/>
      <c r="D53" s="67" t="s">
        <v>278</v>
      </c>
      <c r="E53" s="68">
        <f>E49/E51-1</f>
        <v>-4.3376670688177965E-2</v>
      </c>
      <c r="F53" s="54"/>
      <c r="G53" s="45"/>
      <c r="H53" s="46"/>
      <c r="I53" s="46"/>
    </row>
    <row r="54" spans="2:9" ht="9" customHeight="1" thickBot="1" x14ac:dyDescent="0.3">
      <c r="B54" s="44"/>
      <c r="C54" s="69"/>
      <c r="D54" s="70"/>
      <c r="E54" s="70"/>
      <c r="F54" s="71"/>
      <c r="G54" s="45"/>
      <c r="H54" s="37"/>
      <c r="I54" s="37"/>
    </row>
    <row r="55" spans="2:9" ht="4.9000000000000004" customHeight="1" x14ac:dyDescent="0.25">
      <c r="B55" s="72"/>
      <c r="C55" s="73"/>
      <c r="D55" s="74"/>
      <c r="E55" s="74"/>
      <c r="F55" s="73"/>
      <c r="G55" s="75"/>
      <c r="H55" s="37"/>
      <c r="I55" s="37"/>
    </row>
    <row r="56" spans="2:9" ht="15" x14ac:dyDescent="0.25"/>
    <row r="57" spans="2:9" ht="15" x14ac:dyDescent="0.25"/>
    <row r="58" spans="2:9" ht="15" x14ac:dyDescent="0.25">
      <c r="E58" s="171"/>
    </row>
    <row r="59" spans="2:9" ht="15" hidden="1" x14ac:dyDescent="0.25">
      <c r="E59" s="170"/>
    </row>
    <row r="60" spans="2:9" ht="15" hidden="1" x14ac:dyDescent="0.25">
      <c r="E60" s="170"/>
    </row>
    <row r="61" spans="2:9" ht="15" hidden="1" x14ac:dyDescent="0.25">
      <c r="E61" s="170"/>
    </row>
    <row r="62" spans="2:9" ht="15" hidden="1" x14ac:dyDescent="0.25">
      <c r="E62" s="170"/>
    </row>
    <row r="63" spans="2:9" ht="15" hidden="1" x14ac:dyDescent="0.25">
      <c r="E63" s="170"/>
    </row>
    <row r="64" spans="2:9" ht="15" hidden="1" x14ac:dyDescent="0.25">
      <c r="E64" s="170"/>
    </row>
    <row r="65" spans="5:5" ht="15" hidden="1" x14ac:dyDescent="0.25">
      <c r="E65" s="170"/>
    </row>
    <row r="66" spans="5:5" ht="15" hidden="1" x14ac:dyDescent="0.25">
      <c r="E66" s="170"/>
    </row>
    <row r="67" spans="5:5" ht="15" hidden="1" x14ac:dyDescent="0.25">
      <c r="E67" s="170"/>
    </row>
    <row r="68" spans="5:5" ht="15" hidden="1" x14ac:dyDescent="0.25">
      <c r="E68" s="170"/>
    </row>
    <row r="69" spans="5:5" ht="15" hidden="1" x14ac:dyDescent="0.25">
      <c r="E69" s="170"/>
    </row>
    <row r="70" spans="5:5" ht="15" hidden="1" x14ac:dyDescent="0.25"/>
    <row r="71" spans="5:5" ht="15" hidden="1" x14ac:dyDescent="0.25"/>
    <row r="72" spans="5:5" ht="15" hidden="1" x14ac:dyDescent="0.25"/>
    <row r="73" spans="5:5" ht="15" hidden="1" x14ac:dyDescent="0.25"/>
    <row r="74" spans="5:5" ht="15" hidden="1" x14ac:dyDescent="0.25"/>
    <row r="75" spans="5:5" ht="15" hidden="1" x14ac:dyDescent="0.25"/>
    <row r="76" spans="5:5" ht="15" hidden="1" x14ac:dyDescent="0.25"/>
    <row r="77" spans="5:5" ht="15" hidden="1" x14ac:dyDescent="0.25"/>
    <row r="78" spans="5:5" ht="15" hidden="1" x14ac:dyDescent="0.25"/>
    <row r="79" spans="5:5" ht="15" hidden="1" x14ac:dyDescent="0.25"/>
    <row r="80" spans="5:5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</sheetData>
  <mergeCells count="1">
    <mergeCell ref="C8:F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50F7-CFE2-4D1B-99AA-69EE3C0750B0}">
  <dimension ref="A1:AE35"/>
  <sheetViews>
    <sheetView showGridLines="0" zoomScale="90" zoomScaleNormal="90" workbookViewId="0"/>
  </sheetViews>
  <sheetFormatPr defaultColWidth="0" defaultRowHeight="15" zeroHeight="1" x14ac:dyDescent="0.25"/>
  <cols>
    <col min="1" max="12" width="9.140625" customWidth="1"/>
    <col min="13" max="13" width="6.7109375" customWidth="1"/>
    <col min="14" max="24" width="9.140625" customWidth="1"/>
    <col min="25" max="25" width="4" customWidth="1"/>
    <col min="26" max="26" width="9.140625" customWidth="1"/>
    <col min="27" max="31" width="0" hidden="1" customWidth="1"/>
    <col min="32" max="16384" width="9.140625" hidden="1"/>
  </cols>
  <sheetData>
    <row r="1" spans="6:19" s="22" customFormat="1" ht="3" customHeight="1" x14ac:dyDescent="0.25"/>
    <row r="2" spans="6:19" s="22" customFormat="1" x14ac:dyDescent="0.25"/>
    <row r="3" spans="6:19" s="91" customFormat="1" x14ac:dyDescent="0.25"/>
    <row r="4" spans="6:19" s="91" customFormat="1" x14ac:dyDescent="0.25"/>
    <row r="5" spans="6:19" s="91" customFormat="1" ht="20.100000000000001" customHeight="1" x14ac:dyDescent="0.25"/>
    <row r="6" spans="6:19" x14ac:dyDescent="0.25"/>
    <row r="7" spans="6:19" x14ac:dyDescent="0.25"/>
    <row r="8" spans="6:19" x14ac:dyDescent="0.25"/>
    <row r="9" spans="6:19" x14ac:dyDescent="0.25"/>
    <row r="10" spans="6:19" x14ac:dyDescent="0.25"/>
    <row r="11" spans="6:19" x14ac:dyDescent="0.25">
      <c r="F11" s="393" t="s">
        <v>0</v>
      </c>
      <c r="G11" s="393"/>
      <c r="H11" s="393"/>
      <c r="I11" s="393"/>
      <c r="J11" s="393"/>
      <c r="K11" s="393"/>
      <c r="L11" s="393"/>
      <c r="M11" s="393"/>
      <c r="N11" s="393" t="s">
        <v>1</v>
      </c>
      <c r="O11" s="393"/>
      <c r="P11" s="393"/>
      <c r="Q11" s="127"/>
      <c r="S11" s="118"/>
    </row>
    <row r="12" spans="6:19" ht="18" customHeight="1" x14ac:dyDescent="0.25">
      <c r="F12" s="391" t="s">
        <v>2</v>
      </c>
      <c r="G12" s="391"/>
      <c r="H12" s="391"/>
      <c r="I12" s="391"/>
      <c r="J12" s="391"/>
      <c r="K12" s="391"/>
      <c r="L12" s="391"/>
      <c r="M12" s="391"/>
      <c r="N12" s="392" t="s">
        <v>3</v>
      </c>
      <c r="O12" s="392"/>
      <c r="P12" s="392"/>
      <c r="Q12" s="127"/>
    </row>
    <row r="13" spans="6:19" ht="18" customHeight="1" x14ac:dyDescent="0.25">
      <c r="F13" s="391" t="s">
        <v>4</v>
      </c>
      <c r="G13" s="391"/>
      <c r="H13" s="391"/>
      <c r="I13" s="391"/>
      <c r="J13" s="391"/>
      <c r="K13" s="391"/>
      <c r="L13" s="391"/>
      <c r="M13" s="391"/>
      <c r="N13" s="392" t="s">
        <v>5</v>
      </c>
      <c r="O13" s="392"/>
      <c r="P13" s="392"/>
      <c r="Q13" s="127"/>
    </row>
    <row r="14" spans="6:19" ht="18" customHeight="1" x14ac:dyDescent="0.25">
      <c r="F14" s="391" t="s">
        <v>6</v>
      </c>
      <c r="G14" s="391"/>
      <c r="H14" s="391"/>
      <c r="I14" s="391"/>
      <c r="J14" s="391"/>
      <c r="K14" s="391"/>
      <c r="L14" s="391"/>
      <c r="M14" s="391"/>
      <c r="N14" s="392" t="s">
        <v>7</v>
      </c>
      <c r="O14" s="392"/>
      <c r="P14" s="392"/>
      <c r="Q14" s="127"/>
    </row>
    <row r="15" spans="6:19" ht="18" customHeight="1" x14ac:dyDescent="0.25">
      <c r="F15" s="391" t="s">
        <v>8</v>
      </c>
      <c r="G15" s="391"/>
      <c r="H15" s="391"/>
      <c r="I15" s="391"/>
      <c r="J15" s="391"/>
      <c r="K15" s="391"/>
      <c r="L15" s="391"/>
      <c r="M15" s="391"/>
      <c r="N15" s="392" t="s">
        <v>3</v>
      </c>
      <c r="O15" s="392"/>
      <c r="P15" s="392"/>
      <c r="Q15" s="127"/>
    </row>
    <row r="16" spans="6:19" ht="18" customHeight="1" x14ac:dyDescent="0.25">
      <c r="F16" s="391" t="s">
        <v>9</v>
      </c>
      <c r="G16" s="391"/>
      <c r="H16" s="391"/>
      <c r="I16" s="391"/>
      <c r="J16" s="391"/>
      <c r="K16" s="391"/>
      <c r="L16" s="391"/>
      <c r="M16" s="391"/>
      <c r="N16" s="392" t="s">
        <v>10</v>
      </c>
      <c r="O16" s="392"/>
      <c r="P16" s="392"/>
      <c r="Q16" s="127"/>
    </row>
    <row r="17" spans="6:17" ht="18" customHeight="1" x14ac:dyDescent="0.25">
      <c r="F17" s="391" t="s">
        <v>11</v>
      </c>
      <c r="G17" s="391"/>
      <c r="H17" s="391"/>
      <c r="I17" s="391"/>
      <c r="J17" s="391"/>
      <c r="K17" s="391"/>
      <c r="L17" s="391"/>
      <c r="M17" s="391"/>
      <c r="N17" s="392" t="s">
        <v>10</v>
      </c>
      <c r="O17" s="392"/>
      <c r="P17" s="392"/>
      <c r="Q17" s="127"/>
    </row>
    <row r="18" spans="6:17" ht="18" customHeight="1" x14ac:dyDescent="0.25">
      <c r="F18" s="391" t="s">
        <v>12</v>
      </c>
      <c r="G18" s="391"/>
      <c r="H18" s="391"/>
      <c r="I18" s="391"/>
      <c r="J18" s="391"/>
      <c r="K18" s="391"/>
      <c r="L18" s="391"/>
      <c r="M18" s="391"/>
      <c r="N18" s="392" t="s">
        <v>13</v>
      </c>
      <c r="O18" s="392"/>
      <c r="P18" s="392"/>
      <c r="Q18" s="127"/>
    </row>
    <row r="19" spans="6:17" ht="18" customHeight="1" x14ac:dyDescent="0.25">
      <c r="F19" s="391" t="s">
        <v>14</v>
      </c>
      <c r="G19" s="391"/>
      <c r="H19" s="391"/>
      <c r="I19" s="391"/>
      <c r="J19" s="391"/>
      <c r="K19" s="391"/>
      <c r="L19" s="391"/>
      <c r="M19" s="391"/>
      <c r="N19" s="392" t="s">
        <v>10</v>
      </c>
      <c r="O19" s="392"/>
      <c r="P19" s="392"/>
    </row>
    <row r="20" spans="6:17" x14ac:dyDescent="0.25"/>
    <row r="21" spans="6:17" x14ac:dyDescent="0.25"/>
    <row r="22" spans="6:17" x14ac:dyDescent="0.25"/>
    <row r="23" spans="6:17" x14ac:dyDescent="0.25"/>
    <row r="24" spans="6:17" x14ac:dyDescent="0.25"/>
    <row r="25" spans="6:17" x14ac:dyDescent="0.25"/>
    <row r="26" spans="6:17" x14ac:dyDescent="0.25"/>
    <row r="27" spans="6:17" x14ac:dyDescent="0.25"/>
    <row r="28" spans="6:17" x14ac:dyDescent="0.25"/>
    <row r="29" spans="6:17" x14ac:dyDescent="0.25"/>
    <row r="30" spans="6:17" x14ac:dyDescent="0.25"/>
    <row r="31" spans="6:17" x14ac:dyDescent="0.25"/>
    <row r="32" spans="6:17" x14ac:dyDescent="0.25"/>
    <row r="33" x14ac:dyDescent="0.25"/>
    <row r="34" x14ac:dyDescent="0.25"/>
    <row r="35" x14ac:dyDescent="0.25"/>
  </sheetData>
  <mergeCells count="18">
    <mergeCell ref="N11:P11"/>
    <mergeCell ref="F11:M11"/>
    <mergeCell ref="F15:M15"/>
    <mergeCell ref="F16:M16"/>
    <mergeCell ref="F17:M17"/>
    <mergeCell ref="N12:P12"/>
    <mergeCell ref="N13:P13"/>
    <mergeCell ref="N14:P14"/>
    <mergeCell ref="N15:P15"/>
    <mergeCell ref="F12:M12"/>
    <mergeCell ref="F13:M13"/>
    <mergeCell ref="F14:M14"/>
    <mergeCell ref="F18:M18"/>
    <mergeCell ref="F19:M19"/>
    <mergeCell ref="N18:P18"/>
    <mergeCell ref="N19:P19"/>
    <mergeCell ref="N16:P16"/>
    <mergeCell ref="N17:P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CCA-3F63-4FF9-8DDB-E12298265160}">
  <sheetPr>
    <tabColor theme="3" tint="0.79998168889431442"/>
  </sheetPr>
  <dimension ref="A1:X50"/>
  <sheetViews>
    <sheetView showGridLines="0" zoomScale="90" zoomScaleNormal="90" workbookViewId="0">
      <selection activeCell="I33" sqref="I33"/>
    </sheetView>
  </sheetViews>
  <sheetFormatPr defaultColWidth="0" defaultRowHeight="15" zeroHeight="1" x14ac:dyDescent="0.25"/>
  <cols>
    <col min="1" max="1" width="6.5703125" customWidth="1"/>
    <col min="2" max="2" width="12" customWidth="1"/>
    <col min="3" max="3" width="15.28515625" bestFit="1" customWidth="1"/>
    <col min="4" max="4" width="15" customWidth="1"/>
    <col min="5" max="5" width="10.42578125" bestFit="1" customWidth="1"/>
    <col min="6" max="6" width="16.85546875" customWidth="1"/>
    <col min="7" max="7" width="15" customWidth="1"/>
    <col min="8" max="8" width="10.5703125" customWidth="1"/>
    <col min="9" max="9" width="20.28515625" customWidth="1"/>
    <col min="10" max="10" width="15.28515625" bestFit="1" customWidth="1"/>
    <col min="11" max="11" width="15.42578125" bestFit="1" customWidth="1"/>
    <col min="12" max="12" width="29" customWidth="1"/>
    <col min="13" max="14" width="20.7109375" customWidth="1"/>
    <col min="15" max="15" width="6.5703125" customWidth="1"/>
    <col min="16" max="16" width="20.7109375" hidden="1" customWidth="1"/>
    <col min="17" max="24" width="14.140625" hidden="1" customWidth="1"/>
    <col min="25" max="16384" width="9.140625" hidden="1"/>
  </cols>
  <sheetData>
    <row r="1" spans="2:9" s="22" customFormat="1" ht="3" customHeight="1" x14ac:dyDescent="0.25"/>
    <row r="2" spans="2:9" s="22" customFormat="1" x14ac:dyDescent="0.25"/>
    <row r="3" spans="2:9" s="91" customFormat="1" x14ac:dyDescent="0.25"/>
    <row r="4" spans="2:9" s="91" customFormat="1" x14ac:dyDescent="0.25"/>
    <row r="5" spans="2:9" s="91" customFormat="1" ht="20.100000000000001" customHeight="1" x14ac:dyDescent="0.25"/>
    <row r="6" spans="2:9" s="22" customFormat="1" ht="6.75" customHeight="1" x14ac:dyDescent="0.25"/>
    <row r="7" spans="2:9" x14ac:dyDescent="0.25"/>
    <row r="8" spans="2:9" x14ac:dyDescent="0.25">
      <c r="B8" s="393" t="s">
        <v>15</v>
      </c>
      <c r="C8" s="393"/>
      <c r="D8" s="393"/>
      <c r="E8" s="393"/>
      <c r="F8" s="393"/>
      <c r="G8" s="393"/>
      <c r="H8" s="109"/>
      <c r="I8" s="30"/>
    </row>
    <row r="9" spans="2:9" ht="15" customHeight="1" x14ac:dyDescent="0.25">
      <c r="B9" s="399" t="s">
        <v>16</v>
      </c>
      <c r="C9" s="399"/>
      <c r="D9" s="399"/>
      <c r="E9" s="263" t="s">
        <v>17</v>
      </c>
      <c r="F9" s="263" t="s">
        <v>18</v>
      </c>
      <c r="G9" s="263" t="s">
        <v>19</v>
      </c>
      <c r="H9" s="112"/>
      <c r="I9" s="30"/>
    </row>
    <row r="10" spans="2:9" x14ac:dyDescent="0.25">
      <c r="B10" s="394">
        <v>44531</v>
      </c>
      <c r="C10" s="394"/>
      <c r="D10" s="394"/>
      <c r="E10" s="282">
        <v>6330.59</v>
      </c>
      <c r="F10" s="282">
        <v>6120.04</v>
      </c>
      <c r="G10" s="282">
        <v>1100.9880000000001</v>
      </c>
      <c r="H10" s="114"/>
      <c r="I10" s="95"/>
    </row>
    <row r="11" spans="2:9" x14ac:dyDescent="0.25">
      <c r="B11" s="394">
        <f t="shared" ref="B11:B22" si="0">+B10+31</f>
        <v>44562</v>
      </c>
      <c r="C11" s="394"/>
      <c r="D11" s="394"/>
      <c r="E11" s="282">
        <v>6373</v>
      </c>
      <c r="F11" s="282">
        <v>6153.09</v>
      </c>
      <c r="G11" s="282">
        <v>1120.999</v>
      </c>
      <c r="H11" s="114"/>
      <c r="I11" s="96"/>
    </row>
    <row r="12" spans="2:9" x14ac:dyDescent="0.25">
      <c r="B12" s="394">
        <f t="shared" si="0"/>
        <v>44593</v>
      </c>
      <c r="C12" s="394"/>
      <c r="D12" s="394"/>
      <c r="E12" s="282">
        <v>6436.73</v>
      </c>
      <c r="F12" s="282">
        <v>6215.24</v>
      </c>
      <c r="G12" s="282">
        <v>1141.546</v>
      </c>
      <c r="H12" s="114"/>
      <c r="I12" s="96"/>
    </row>
    <row r="13" spans="2:9" x14ac:dyDescent="0.25">
      <c r="B13" s="394">
        <f t="shared" si="0"/>
        <v>44624</v>
      </c>
      <c r="C13" s="394"/>
      <c r="D13" s="394"/>
      <c r="E13" s="282">
        <v>6546.8</v>
      </c>
      <c r="F13" s="282">
        <v>6315.93</v>
      </c>
      <c r="G13" s="282">
        <v>1161.4179999999999</v>
      </c>
      <c r="H13" s="114"/>
      <c r="I13" s="96"/>
    </row>
    <row r="14" spans="2:9" x14ac:dyDescent="0.25">
      <c r="B14" s="394">
        <f t="shared" si="0"/>
        <v>44655</v>
      </c>
      <c r="C14" s="394"/>
      <c r="D14" s="394"/>
      <c r="E14" s="282">
        <v>6614.89</v>
      </c>
      <c r="F14" s="282">
        <v>6382.88</v>
      </c>
      <c r="G14" s="282">
        <v>1177.809</v>
      </c>
      <c r="H14" s="114"/>
      <c r="I14" s="96"/>
    </row>
    <row r="15" spans="2:9" x14ac:dyDescent="0.25">
      <c r="B15" s="394">
        <f t="shared" si="0"/>
        <v>44686</v>
      </c>
      <c r="C15" s="394"/>
      <c r="D15" s="394"/>
      <c r="E15" s="282">
        <v>6644.66</v>
      </c>
      <c r="F15" s="282">
        <v>6412.88</v>
      </c>
      <c r="G15" s="282">
        <v>1183.953</v>
      </c>
      <c r="H15" s="114"/>
      <c r="I15" s="96"/>
    </row>
    <row r="16" spans="2:9" x14ac:dyDescent="0.25">
      <c r="B16" s="394">
        <f t="shared" si="0"/>
        <v>44717</v>
      </c>
      <c r="C16" s="394"/>
      <c r="D16" s="394"/>
      <c r="E16" s="282">
        <v>6685.86</v>
      </c>
      <c r="F16" s="282">
        <v>6455.85</v>
      </c>
      <c r="G16" s="282">
        <v>1190.8820000000001</v>
      </c>
      <c r="H16" s="114"/>
      <c r="I16" s="96"/>
    </row>
    <row r="17" spans="2:9" x14ac:dyDescent="0.25">
      <c r="B17" s="394">
        <f t="shared" si="0"/>
        <v>44748</v>
      </c>
      <c r="C17" s="394"/>
      <c r="D17" s="394"/>
      <c r="E17" s="282">
        <v>6645.74</v>
      </c>
      <c r="F17" s="282">
        <v>6411.95</v>
      </c>
      <c r="G17" s="282">
        <v>1193.337</v>
      </c>
      <c r="H17" s="114"/>
      <c r="I17" s="96"/>
    </row>
    <row r="18" spans="2:9" x14ac:dyDescent="0.25">
      <c r="B18" s="394">
        <f t="shared" si="0"/>
        <v>44779</v>
      </c>
      <c r="C18" s="394"/>
      <c r="D18" s="394"/>
      <c r="E18" s="282">
        <v>6625.14</v>
      </c>
      <c r="F18" s="282">
        <v>6388.87</v>
      </c>
      <c r="G18" s="282">
        <v>1185.0039999999999</v>
      </c>
      <c r="H18" s="114"/>
      <c r="I18" s="96"/>
    </row>
    <row r="19" spans="2:9" x14ac:dyDescent="0.25">
      <c r="B19" s="394">
        <f t="shared" si="0"/>
        <v>44810</v>
      </c>
      <c r="C19" s="394"/>
      <c r="D19" s="394"/>
      <c r="E19" s="282">
        <v>6603.94</v>
      </c>
      <c r="F19" s="282">
        <v>6370.34</v>
      </c>
      <c r="G19" s="282">
        <v>1173.7929999999999</v>
      </c>
      <c r="H19" s="114"/>
      <c r="I19" s="96"/>
    </row>
    <row r="20" spans="2:9" x14ac:dyDescent="0.25">
      <c r="B20" s="394">
        <f t="shared" si="0"/>
        <v>44841</v>
      </c>
      <c r="C20" s="394"/>
      <c r="D20" s="394"/>
      <c r="E20" s="282">
        <v>6634.98</v>
      </c>
      <c r="F20" s="282">
        <v>6407.93</v>
      </c>
      <c r="G20" s="282">
        <v>1162.3910000000001</v>
      </c>
      <c r="H20" s="114"/>
      <c r="I20" s="96"/>
    </row>
    <row r="21" spans="2:9" x14ac:dyDescent="0.25">
      <c r="B21" s="394">
        <f t="shared" si="0"/>
        <v>44872</v>
      </c>
      <c r="C21" s="394"/>
      <c r="D21" s="394"/>
      <c r="E21" s="282">
        <v>6660.19</v>
      </c>
      <c r="F21" s="282">
        <v>6434.2</v>
      </c>
      <c r="G21" s="282">
        <v>1155.829</v>
      </c>
      <c r="H21" s="114"/>
      <c r="I21" s="96"/>
    </row>
    <row r="22" spans="2:9" ht="15" customHeight="1" x14ac:dyDescent="0.25">
      <c r="B22" s="394">
        <f t="shared" si="0"/>
        <v>44903</v>
      </c>
      <c r="C22" s="394"/>
      <c r="D22" s="394"/>
      <c r="E22" s="282">
        <v>6706.15</v>
      </c>
      <c r="F22" s="282">
        <v>6474.09</v>
      </c>
      <c r="G22" s="282">
        <v>1161.0060000000001</v>
      </c>
      <c r="H22" s="114"/>
      <c r="I22" s="96"/>
    </row>
    <row r="23" spans="2:9" ht="15" customHeight="1" x14ac:dyDescent="0.25">
      <c r="B23" s="393" t="s">
        <v>20</v>
      </c>
      <c r="C23" s="393"/>
      <c r="D23" s="393"/>
      <c r="E23" s="283">
        <f>E22/E10-1</f>
        <v>5.9324644306454788E-2</v>
      </c>
      <c r="F23" s="283">
        <f>F22/F10-1</f>
        <v>5.7850929078894886E-2</v>
      </c>
      <c r="G23" s="283">
        <f t="shared" ref="G23" si="1">G22/G10-1</f>
        <v>5.4512855725947995E-2</v>
      </c>
      <c r="H23" s="382"/>
      <c r="I23" s="96"/>
    </row>
    <row r="24" spans="2:9" ht="15" customHeight="1" x14ac:dyDescent="0.25">
      <c r="B24" s="238" t="s">
        <v>21</v>
      </c>
      <c r="C24" s="98"/>
      <c r="D24" s="98"/>
      <c r="E24" s="30"/>
      <c r="F24" s="30"/>
      <c r="G24" s="30"/>
      <c r="H24" s="382"/>
      <c r="I24" s="30"/>
    </row>
    <row r="25" spans="2:9" x14ac:dyDescent="0.25">
      <c r="B25" s="30"/>
      <c r="C25" s="99"/>
      <c r="D25" s="99"/>
      <c r="E25" s="30"/>
      <c r="F25" s="30"/>
      <c r="G25" s="30"/>
      <c r="H25" s="382"/>
    </row>
    <row r="26" spans="2:9" x14ac:dyDescent="0.25">
      <c r="B26" s="393" t="s">
        <v>22</v>
      </c>
      <c r="C26" s="393"/>
      <c r="D26" s="393"/>
      <c r="E26" s="393"/>
      <c r="F26" s="393"/>
      <c r="G26" s="393"/>
      <c r="H26" s="382"/>
    </row>
    <row r="27" spans="2:9" ht="31.5" customHeight="1" x14ac:dyDescent="0.25">
      <c r="B27" s="284" t="s">
        <v>23</v>
      </c>
      <c r="C27" s="284" t="s">
        <v>24</v>
      </c>
      <c r="D27" s="284" t="s">
        <v>25</v>
      </c>
      <c r="E27" s="284" t="s">
        <v>23</v>
      </c>
      <c r="F27" s="284" t="s">
        <v>24</v>
      </c>
      <c r="G27" s="284" t="s">
        <v>26</v>
      </c>
      <c r="H27" s="382"/>
    </row>
    <row r="28" spans="2:9" ht="15" customHeight="1" x14ac:dyDescent="0.25">
      <c r="B28" s="285">
        <v>44197</v>
      </c>
      <c r="C28" s="286">
        <v>10134788.630000001</v>
      </c>
      <c r="D28" s="286">
        <v>18300815</v>
      </c>
      <c r="E28" s="285">
        <f>EDATE(B39,1)</f>
        <v>44562</v>
      </c>
      <c r="F28" s="286">
        <v>17705815.339999992</v>
      </c>
      <c r="G28" s="286">
        <v>24756828.186048869</v>
      </c>
      <c r="H28" s="382"/>
    </row>
    <row r="29" spans="2:9" ht="15" customHeight="1" x14ac:dyDescent="0.25">
      <c r="B29" s="285">
        <v>44228</v>
      </c>
      <c r="C29" s="286">
        <v>10779416.02</v>
      </c>
      <c r="D29" s="286">
        <v>23631534</v>
      </c>
      <c r="E29" s="285">
        <f t="shared" ref="E29:E39" si="2">EDATE(E28,1)</f>
        <v>44593</v>
      </c>
      <c r="F29" s="286">
        <v>16894387.489999991</v>
      </c>
      <c r="G29" s="286">
        <v>24525467.882516909</v>
      </c>
      <c r="H29" s="382"/>
    </row>
    <row r="30" spans="2:9" ht="15" customHeight="1" x14ac:dyDescent="0.25">
      <c r="B30" s="285">
        <v>44256</v>
      </c>
      <c r="C30" s="286">
        <v>10080086.380000001</v>
      </c>
      <c r="D30" s="286">
        <v>21023332</v>
      </c>
      <c r="E30" s="285">
        <f t="shared" si="2"/>
        <v>44621</v>
      </c>
      <c r="F30" s="286">
        <v>16026734.679999998</v>
      </c>
      <c r="G30" s="286">
        <v>23090040.702006415</v>
      </c>
      <c r="H30" s="382"/>
    </row>
    <row r="31" spans="2:9" ht="15" customHeight="1" x14ac:dyDescent="0.25">
      <c r="B31" s="285">
        <v>44287</v>
      </c>
      <c r="C31" s="286">
        <v>12383169.939999999</v>
      </c>
      <c r="D31" s="286">
        <v>26986889</v>
      </c>
      <c r="E31" s="287">
        <f t="shared" si="2"/>
        <v>44652</v>
      </c>
      <c r="F31" s="286">
        <v>17987985</v>
      </c>
      <c r="G31" s="286">
        <v>25051416.220641658</v>
      </c>
      <c r="H31" s="382"/>
    </row>
    <row r="32" spans="2:9" ht="15" customHeight="1" x14ac:dyDescent="0.25">
      <c r="B32" s="285">
        <v>44317</v>
      </c>
      <c r="C32" s="286">
        <v>10106234.800000001</v>
      </c>
      <c r="D32" s="286">
        <v>21308566</v>
      </c>
      <c r="E32" s="287">
        <f t="shared" si="2"/>
        <v>44682</v>
      </c>
      <c r="F32" s="286">
        <v>14944229.54999999</v>
      </c>
      <c r="G32" s="286">
        <v>25113463.304032493</v>
      </c>
      <c r="H32" s="382"/>
    </row>
    <row r="33" spans="2:11" ht="15" customHeight="1" x14ac:dyDescent="0.25">
      <c r="B33" s="285">
        <v>44348</v>
      </c>
      <c r="C33" s="286">
        <v>12045523.17</v>
      </c>
      <c r="D33" s="286">
        <v>24035643</v>
      </c>
      <c r="E33" s="287">
        <f t="shared" si="2"/>
        <v>44713</v>
      </c>
      <c r="F33" s="286">
        <v>13154475.679999998</v>
      </c>
      <c r="G33" s="286">
        <v>25506490.127591293</v>
      </c>
      <c r="H33" s="382"/>
    </row>
    <row r="34" spans="2:11" ht="15" customHeight="1" x14ac:dyDescent="0.25">
      <c r="B34" s="285">
        <v>44378</v>
      </c>
      <c r="C34" s="286">
        <v>12500689.59</v>
      </c>
      <c r="D34" s="286">
        <v>23166734</v>
      </c>
      <c r="E34" s="287">
        <f t="shared" si="2"/>
        <v>44743</v>
      </c>
      <c r="F34" s="286">
        <v>12769920.710000003</v>
      </c>
      <c r="G34" s="286">
        <v>24732996.160052333</v>
      </c>
      <c r="H34" s="382"/>
    </row>
    <row r="35" spans="2:11" ht="15" customHeight="1" x14ac:dyDescent="0.25">
      <c r="B35" s="285">
        <v>44409</v>
      </c>
      <c r="C35" s="286">
        <v>14200548.17</v>
      </c>
      <c r="D35" s="286">
        <v>23640437</v>
      </c>
      <c r="E35" s="287">
        <f t="shared" si="2"/>
        <v>44774</v>
      </c>
      <c r="F35" s="286">
        <v>13217354.059999999</v>
      </c>
      <c r="G35" s="286">
        <v>25568133.611383457</v>
      </c>
      <c r="H35" s="382"/>
    </row>
    <row r="36" spans="2:11" ht="15" customHeight="1" x14ac:dyDescent="0.25">
      <c r="B36" s="285">
        <v>44440</v>
      </c>
      <c r="C36" s="286">
        <v>15075605.449999999</v>
      </c>
      <c r="D36" s="286">
        <v>25071050</v>
      </c>
      <c r="E36" s="287">
        <f t="shared" si="2"/>
        <v>44805</v>
      </c>
      <c r="F36" s="286">
        <v>13895938.470000004</v>
      </c>
      <c r="G36" s="286">
        <v>26619202.214173131</v>
      </c>
      <c r="H36" s="382"/>
    </row>
    <row r="37" spans="2:11" ht="15" customHeight="1" x14ac:dyDescent="0.25">
      <c r="B37" s="285">
        <v>44470</v>
      </c>
      <c r="C37" s="286">
        <v>15861978.289999999</v>
      </c>
      <c r="D37" s="286">
        <v>25433487</v>
      </c>
      <c r="E37" s="287">
        <f t="shared" si="2"/>
        <v>44835</v>
      </c>
      <c r="F37" s="286">
        <v>13343390.08</v>
      </c>
      <c r="G37" s="286">
        <v>24294826.858784646</v>
      </c>
      <c r="I37" s="181"/>
      <c r="J37" s="19"/>
    </row>
    <row r="38" spans="2:11" ht="15" customHeight="1" x14ac:dyDescent="0.25">
      <c r="B38" s="285">
        <v>44501</v>
      </c>
      <c r="C38" s="286">
        <v>16677009.6</v>
      </c>
      <c r="D38" s="286">
        <v>25050610</v>
      </c>
      <c r="E38" s="285">
        <f t="shared" si="2"/>
        <v>44866</v>
      </c>
      <c r="F38" s="286">
        <v>13583598.440000007</v>
      </c>
      <c r="G38" s="286">
        <v>26001902.938821755</v>
      </c>
      <c r="I38" s="181"/>
      <c r="J38" s="19"/>
    </row>
    <row r="39" spans="2:11" ht="15" customHeight="1" x14ac:dyDescent="0.25">
      <c r="B39" s="285">
        <v>44531</v>
      </c>
      <c r="C39" s="286">
        <v>17419353.969999999</v>
      </c>
      <c r="D39" s="286">
        <v>24079541</v>
      </c>
      <c r="E39" s="285">
        <f t="shared" si="2"/>
        <v>44896</v>
      </c>
      <c r="F39" s="286">
        <v>16362845.670000013</v>
      </c>
      <c r="G39" s="286">
        <v>23619117.87242448</v>
      </c>
      <c r="I39" s="181"/>
      <c r="J39" s="214"/>
      <c r="K39" s="214"/>
    </row>
    <row r="40" spans="2:11" ht="15" customHeight="1" x14ac:dyDescent="0.25">
      <c r="B40" s="256" t="s">
        <v>27</v>
      </c>
      <c r="C40" s="288">
        <f>SUM(C28:C39)</f>
        <v>157264404.00999999</v>
      </c>
      <c r="D40" s="288">
        <f>SUM(D28:D39)</f>
        <v>281728638</v>
      </c>
      <c r="E40" s="289" t="s">
        <v>27</v>
      </c>
      <c r="F40" s="288">
        <f>SUM(F28:F39)</f>
        <v>179886675.17000002</v>
      </c>
      <c r="G40" s="288">
        <f>SUM(G28:G39)</f>
        <v>298879886.07847744</v>
      </c>
      <c r="J40" s="19"/>
      <c r="K40" s="19"/>
    </row>
    <row r="41" spans="2:11" ht="27" customHeight="1" x14ac:dyDescent="0.25">
      <c r="B41" s="397" t="s">
        <v>28</v>
      </c>
      <c r="C41" s="397"/>
      <c r="D41" s="397"/>
      <c r="E41" s="397"/>
      <c r="F41" s="397"/>
      <c r="G41" s="397"/>
    </row>
    <row r="42" spans="2:11" ht="15" customHeight="1" x14ac:dyDescent="0.25">
      <c r="B42" s="398" t="s">
        <v>29</v>
      </c>
      <c r="C42" s="398"/>
      <c r="D42" s="398"/>
      <c r="E42" s="398"/>
      <c r="F42" s="398"/>
      <c r="G42" s="398"/>
    </row>
    <row r="43" spans="2:11" ht="15" customHeight="1" x14ac:dyDescent="0.25">
      <c r="B43" s="238" t="s">
        <v>30</v>
      </c>
      <c r="C43" s="103"/>
      <c r="D43" s="103"/>
      <c r="E43" s="30"/>
      <c r="F43" s="103"/>
      <c r="G43" s="103"/>
    </row>
    <row r="44" spans="2:11" ht="15" customHeight="1" x14ac:dyDescent="0.25"/>
    <row r="45" spans="2:11" ht="15" customHeight="1" x14ac:dyDescent="0.25">
      <c r="B45" s="393" t="s">
        <v>31</v>
      </c>
      <c r="C45" s="393"/>
      <c r="D45" s="393"/>
      <c r="E45" s="393"/>
      <c r="F45" s="393"/>
      <c r="G45" s="393"/>
      <c r="H45" s="393"/>
    </row>
    <row r="46" spans="2:11" ht="30" customHeight="1" x14ac:dyDescent="0.25">
      <c r="B46" s="395" t="s">
        <v>32</v>
      </c>
      <c r="C46" s="395"/>
      <c r="D46" s="395"/>
      <c r="E46" s="395"/>
      <c r="F46" s="284" t="s">
        <v>33</v>
      </c>
      <c r="G46" s="284" t="s">
        <v>34</v>
      </c>
      <c r="H46" s="284" t="s">
        <v>35</v>
      </c>
    </row>
    <row r="47" spans="2:11" ht="15" customHeight="1" x14ac:dyDescent="0.25">
      <c r="B47" s="396" t="s">
        <v>36</v>
      </c>
      <c r="C47" s="396"/>
      <c r="D47" s="396"/>
      <c r="E47" s="396"/>
      <c r="F47" s="290">
        <f>F40</f>
        <v>179886675.17000002</v>
      </c>
      <c r="G47" s="291">
        <f>G40</f>
        <v>298879886.07847744</v>
      </c>
      <c r="H47" s="292">
        <f>F47/G47</f>
        <v>0.60186945843109307</v>
      </c>
    </row>
    <row r="48" spans="2:11" ht="15" customHeight="1" x14ac:dyDescent="0.25">
      <c r="B48" s="396" t="s">
        <v>37</v>
      </c>
      <c r="C48" s="396"/>
      <c r="D48" s="396"/>
      <c r="E48" s="396"/>
      <c r="F48" s="290">
        <f>C40</f>
        <v>157264404.00999999</v>
      </c>
      <c r="G48" s="291">
        <f>D40</f>
        <v>281728638</v>
      </c>
      <c r="H48" s="292">
        <f>F48/G48</f>
        <v>0.55821234620102766</v>
      </c>
      <c r="J48" s="3"/>
    </row>
    <row r="49" spans="2:8" ht="15" customHeight="1" x14ac:dyDescent="0.25">
      <c r="B49" s="393" t="s">
        <v>38</v>
      </c>
      <c r="C49" s="393"/>
      <c r="D49" s="393"/>
      <c r="E49" s="393"/>
      <c r="F49" s="393"/>
      <c r="G49" s="393"/>
      <c r="H49" s="293">
        <f>H47/H48-1</f>
        <v>7.8208790126514494E-2</v>
      </c>
    </row>
    <row r="50" spans="2:8" ht="15" customHeight="1" x14ac:dyDescent="0.25"/>
  </sheetData>
  <mergeCells count="24">
    <mergeCell ref="B8:G8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  <mergeCell ref="B49:G49"/>
    <mergeCell ref="B17:D17"/>
    <mergeCell ref="B45:H45"/>
    <mergeCell ref="B46:E46"/>
    <mergeCell ref="B47:E47"/>
    <mergeCell ref="B48:E48"/>
    <mergeCell ref="B26:G26"/>
    <mergeCell ref="B23:D23"/>
    <mergeCell ref="B22:D22"/>
    <mergeCell ref="B41:G41"/>
    <mergeCell ref="B42:G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A53D-8634-4797-A728-80910E1DCE4C}">
  <sheetPr>
    <tabColor theme="3" tint="0.79998168889431442"/>
  </sheetPr>
  <dimension ref="A1:S35"/>
  <sheetViews>
    <sheetView showGridLines="0" zoomScale="90" zoomScaleNormal="90" workbookViewId="0">
      <selection activeCell="Q21" sqref="Q21"/>
    </sheetView>
  </sheetViews>
  <sheetFormatPr defaultColWidth="0" defaultRowHeight="15" customHeight="1" zeroHeight="1" x14ac:dyDescent="0.25"/>
  <cols>
    <col min="1" max="12" width="9.140625" customWidth="1"/>
    <col min="13" max="13" width="17.85546875" customWidth="1"/>
    <col min="14" max="16" width="18.7109375" customWidth="1"/>
    <col min="17" max="17" width="26.140625" customWidth="1"/>
    <col min="18" max="18" width="19.28515625" customWidth="1"/>
    <col min="19" max="19" width="26" hidden="1" customWidth="1"/>
    <col min="20" max="16383" width="18.7109375" hidden="1"/>
    <col min="16384" max="16384" width="18.7109375" hidden="1" customWidth="1"/>
  </cols>
  <sheetData>
    <row r="1" spans="6:18" s="22" customFormat="1" ht="3" customHeight="1" x14ac:dyDescent="0.25"/>
    <row r="2" spans="6:18" s="22" customFormat="1" x14ac:dyDescent="0.25"/>
    <row r="3" spans="6:18" s="91" customFormat="1" x14ac:dyDescent="0.25"/>
    <row r="4" spans="6:18" s="91" customFormat="1" x14ac:dyDescent="0.25"/>
    <row r="5" spans="6:18" s="91" customFormat="1" ht="20.100000000000001" customHeight="1" x14ac:dyDescent="0.25"/>
    <row r="6" spans="6:18" x14ac:dyDescent="0.25"/>
    <row r="7" spans="6:18" x14ac:dyDescent="0.25"/>
    <row r="8" spans="6:18" x14ac:dyDescent="0.25"/>
    <row r="9" spans="6:18" x14ac:dyDescent="0.25"/>
    <row r="10" spans="6:18" x14ac:dyDescent="0.25"/>
    <row r="11" spans="6:18" x14ac:dyDescent="0.25"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6:18" x14ac:dyDescent="0.25"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3"/>
      <c r="R12" s="93"/>
    </row>
    <row r="13" spans="6:18" x14ac:dyDescent="0.25"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3"/>
      <c r="R13" s="93"/>
    </row>
    <row r="14" spans="6:18" x14ac:dyDescent="0.25"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3"/>
      <c r="R14" s="93"/>
    </row>
    <row r="15" spans="6:18" x14ac:dyDescent="0.25"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93"/>
    </row>
    <row r="16" spans="6:18" x14ac:dyDescent="0.25"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3"/>
      <c r="R16" s="93"/>
    </row>
    <row r="17" spans="6:18" x14ac:dyDescent="0.25"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3"/>
      <c r="R17" s="93"/>
    </row>
    <row r="18" spans="6:18" x14ac:dyDescent="0.25"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3"/>
      <c r="R18" s="93"/>
    </row>
    <row r="19" spans="6:18" x14ac:dyDescent="0.25"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3"/>
      <c r="R19" s="93"/>
    </row>
    <row r="20" spans="6:18" x14ac:dyDescent="0.25"/>
    <row r="21" spans="6:18" x14ac:dyDescent="0.25"/>
    <row r="22" spans="6:18" x14ac:dyDescent="0.25"/>
    <row r="23" spans="6:18" x14ac:dyDescent="0.25"/>
    <row r="24" spans="6:18" x14ac:dyDescent="0.25"/>
    <row r="25" spans="6:18" x14ac:dyDescent="0.25"/>
    <row r="26" spans="6:18" x14ac:dyDescent="0.25"/>
    <row r="27" spans="6:18" x14ac:dyDescent="0.25"/>
    <row r="28" spans="6:18" x14ac:dyDescent="0.25"/>
    <row r="29" spans="6:18" x14ac:dyDescent="0.25"/>
    <row r="30" spans="6:18" x14ac:dyDescent="0.25"/>
    <row r="31" spans="6:18" x14ac:dyDescent="0.25"/>
    <row r="32" spans="6:18" x14ac:dyDescent="0.25"/>
    <row r="33" x14ac:dyDescent="0.25"/>
    <row r="34" x14ac:dyDescent="0.25"/>
    <row r="35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AB94-AA01-43CA-80B5-B94BA051B95A}">
  <sheetPr>
    <tabColor theme="3" tint="0.59999389629810485"/>
  </sheetPr>
  <dimension ref="A1:U69"/>
  <sheetViews>
    <sheetView showGridLines="0" topLeftCell="A3" zoomScale="90" zoomScaleNormal="90" workbookViewId="0">
      <selection activeCell="I27" sqref="I27"/>
    </sheetView>
  </sheetViews>
  <sheetFormatPr defaultColWidth="0" defaultRowHeight="0" customHeight="1" zeroHeight="1" x14ac:dyDescent="0.25"/>
  <cols>
    <col min="1" max="1" width="3.7109375" customWidth="1"/>
    <col min="2" max="2" width="23.7109375" customWidth="1"/>
    <col min="3" max="3" width="14.140625" customWidth="1"/>
    <col min="4" max="4" width="22.7109375" customWidth="1"/>
    <col min="5" max="5" width="16.140625" customWidth="1"/>
    <col min="6" max="6" width="17" bestFit="1" customWidth="1"/>
    <col min="7" max="7" width="4.7109375" customWidth="1"/>
    <col min="8" max="8" width="20" bestFit="1" customWidth="1"/>
    <col min="9" max="9" width="24.42578125" customWidth="1"/>
    <col min="10" max="10" width="5.42578125" customWidth="1"/>
    <col min="11" max="11" width="24.28515625" bestFit="1" customWidth="1"/>
    <col min="12" max="14" width="19.7109375" customWidth="1"/>
    <col min="15" max="15" width="7.28515625" customWidth="1"/>
    <col min="16" max="16" width="14.140625" hidden="1" customWidth="1"/>
    <col min="17" max="17" width="7" hidden="1" customWidth="1"/>
    <col min="18" max="16384" width="9.140625" hidden="1"/>
  </cols>
  <sheetData>
    <row r="1" spans="1:19" s="22" customFormat="1" ht="3" customHeight="1" x14ac:dyDescent="0.25"/>
    <row r="2" spans="1:19" s="22" customFormat="1" ht="15" x14ac:dyDescent="0.25"/>
    <row r="3" spans="1:19" s="91" customFormat="1" ht="15" customHeight="1" x14ac:dyDescent="0.25"/>
    <row r="4" spans="1:19" s="91" customFormat="1" ht="15" x14ac:dyDescent="0.25"/>
    <row r="5" spans="1:19" s="91" customFormat="1" ht="20.100000000000001" customHeight="1" x14ac:dyDescent="0.25"/>
    <row r="6" spans="1:19" ht="15" x14ac:dyDescent="0.25"/>
    <row r="7" spans="1:19" ht="18.75" x14ac:dyDescent="0.25">
      <c r="C7" s="129" t="s">
        <v>39</v>
      </c>
      <c r="G7" s="129"/>
    </row>
    <row r="8" spans="1:19" ht="1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9" ht="15.75" x14ac:dyDescent="0.25">
      <c r="B9" s="400" t="s">
        <v>40</v>
      </c>
      <c r="C9" s="400"/>
      <c r="D9" s="400"/>
      <c r="E9" s="400"/>
      <c r="F9" s="400"/>
      <c r="G9" s="22"/>
      <c r="H9" s="402" t="s">
        <v>41</v>
      </c>
      <c r="I9" s="402"/>
      <c r="J9" s="402"/>
      <c r="K9" s="402"/>
      <c r="L9" s="402"/>
      <c r="M9" s="402"/>
      <c r="N9" s="402"/>
    </row>
    <row r="10" spans="1:19" ht="15.75" x14ac:dyDescent="0.25">
      <c r="B10" s="256" t="s">
        <v>42</v>
      </c>
      <c r="C10" s="256" t="s">
        <v>43</v>
      </c>
      <c r="D10" s="256" t="s">
        <v>44</v>
      </c>
      <c r="E10" s="256" t="s">
        <v>43</v>
      </c>
      <c r="F10" s="256" t="s">
        <v>45</v>
      </c>
      <c r="G10" s="22"/>
      <c r="H10" s="403"/>
      <c r="I10" s="403"/>
      <c r="J10" s="403"/>
      <c r="K10" s="251" t="s">
        <v>46</v>
      </c>
      <c r="L10" s="251" t="s">
        <v>47</v>
      </c>
      <c r="M10" s="251" t="s">
        <v>48</v>
      </c>
      <c r="N10" s="251" t="s">
        <v>49</v>
      </c>
    </row>
    <row r="11" spans="1:19" ht="15.75" x14ac:dyDescent="0.25">
      <c r="B11" s="259">
        <v>44197</v>
      </c>
      <c r="C11" s="252">
        <v>4882203</v>
      </c>
      <c r="D11" s="259">
        <v>44562</v>
      </c>
      <c r="E11" s="252">
        <v>3578049</v>
      </c>
      <c r="F11" s="261">
        <f t="shared" ref="F11:F22" si="0">IF(C11-E11&lt;=0,"",C11-E11)</f>
        <v>1304154</v>
      </c>
      <c r="G11" s="22"/>
      <c r="H11" s="401" t="s">
        <v>50</v>
      </c>
      <c r="I11" s="401"/>
      <c r="J11" s="401"/>
      <c r="K11" s="252">
        <f>SUM(F11:F22)</f>
        <v>13458279</v>
      </c>
      <c r="L11" s="252">
        <f>SUM(F26:F37)</f>
        <v>457150</v>
      </c>
      <c r="M11" s="252">
        <f>SUM(F41:F52)</f>
        <v>1299552</v>
      </c>
      <c r="N11" s="252">
        <f>SUM(F56:F67)</f>
        <v>35850</v>
      </c>
    </row>
    <row r="12" spans="1:19" ht="15.75" x14ac:dyDescent="0.25">
      <c r="B12" s="259">
        <v>44228</v>
      </c>
      <c r="C12" s="252">
        <v>4442297</v>
      </c>
      <c r="D12" s="259">
        <f>+D11+31</f>
        <v>44593</v>
      </c>
      <c r="E12" s="252">
        <v>3289473</v>
      </c>
      <c r="F12" s="261">
        <f t="shared" si="0"/>
        <v>1152824</v>
      </c>
      <c r="G12" s="22"/>
      <c r="H12" s="401" t="s">
        <v>51</v>
      </c>
      <c r="I12" s="401"/>
      <c r="J12" s="401"/>
      <c r="K12" s="253">
        <v>0.2</v>
      </c>
      <c r="L12" s="253">
        <v>0.2</v>
      </c>
      <c r="M12" s="253">
        <v>0.2</v>
      </c>
      <c r="N12" s="253">
        <v>0.2</v>
      </c>
    </row>
    <row r="13" spans="1:19" ht="15.75" x14ac:dyDescent="0.25">
      <c r="B13" s="259">
        <v>44256</v>
      </c>
      <c r="C13" s="252">
        <v>4644065</v>
      </c>
      <c r="D13" s="259">
        <f t="shared" ref="D13:D22" si="1">+D12+31</f>
        <v>44624</v>
      </c>
      <c r="E13" s="252">
        <v>3506241</v>
      </c>
      <c r="F13" s="261">
        <f t="shared" si="0"/>
        <v>1137824</v>
      </c>
      <c r="G13" s="22"/>
      <c r="H13" s="401" t="s">
        <v>52</v>
      </c>
      <c r="I13" s="401"/>
      <c r="J13" s="401"/>
      <c r="K13" s="252">
        <f>K11*K12</f>
        <v>2691655.8000000003</v>
      </c>
      <c r="L13" s="252">
        <f t="shared" ref="L13:N13" si="2">L11*L12</f>
        <v>91430</v>
      </c>
      <c r="M13" s="252">
        <f t="shared" si="2"/>
        <v>259910.40000000002</v>
      </c>
      <c r="N13" s="252">
        <f t="shared" si="2"/>
        <v>7170</v>
      </c>
    </row>
    <row r="14" spans="1:19" ht="15.75" x14ac:dyDescent="0.25">
      <c r="B14" s="259">
        <v>44287</v>
      </c>
      <c r="C14" s="252">
        <v>4481196</v>
      </c>
      <c r="D14" s="259">
        <f t="shared" si="1"/>
        <v>44655</v>
      </c>
      <c r="E14" s="252">
        <v>3389700</v>
      </c>
      <c r="F14" s="261">
        <f t="shared" si="0"/>
        <v>1091496</v>
      </c>
      <c r="G14" s="22"/>
      <c r="H14" s="401" t="s">
        <v>53</v>
      </c>
      <c r="I14" s="401"/>
      <c r="J14" s="401"/>
      <c r="K14" s="254">
        <v>3.26</v>
      </c>
      <c r="L14" s="254">
        <v>1.63</v>
      </c>
      <c r="M14" s="254">
        <v>6.72</v>
      </c>
      <c r="N14" s="254">
        <v>6.72</v>
      </c>
      <c r="O14" s="22"/>
      <c r="P14" s="22"/>
      <c r="Q14" s="22"/>
      <c r="R14" s="22"/>
      <c r="S14" s="22"/>
    </row>
    <row r="15" spans="1:19" ht="15.75" x14ac:dyDescent="0.25">
      <c r="B15" s="259">
        <v>44317</v>
      </c>
      <c r="C15" s="252">
        <v>4408363</v>
      </c>
      <c r="D15" s="259">
        <f t="shared" si="1"/>
        <v>44686</v>
      </c>
      <c r="E15" s="252">
        <v>3326271</v>
      </c>
      <c r="F15" s="261">
        <f t="shared" si="0"/>
        <v>1082092</v>
      </c>
      <c r="G15" s="22"/>
      <c r="H15" s="401" t="s">
        <v>54</v>
      </c>
      <c r="I15" s="401"/>
      <c r="J15" s="401"/>
      <c r="K15" s="255">
        <f>K13*K14</f>
        <v>8774797.9079999998</v>
      </c>
      <c r="L15" s="255">
        <f>L13*L14</f>
        <v>149030.9</v>
      </c>
      <c r="M15" s="255">
        <f>M13*M14</f>
        <v>1746597.888</v>
      </c>
      <c r="N15" s="255">
        <f>N13*N14</f>
        <v>48182.400000000001</v>
      </c>
      <c r="O15" s="22"/>
      <c r="P15" s="22"/>
      <c r="Q15" s="22"/>
      <c r="R15" s="22"/>
    </row>
    <row r="16" spans="1:19" ht="15" x14ac:dyDescent="0.25">
      <c r="B16" s="259">
        <v>44348</v>
      </c>
      <c r="C16" s="252">
        <v>5047880</v>
      </c>
      <c r="D16" s="259">
        <f t="shared" si="1"/>
        <v>44717</v>
      </c>
      <c r="E16" s="252">
        <v>3783942</v>
      </c>
      <c r="F16" s="261">
        <f t="shared" si="0"/>
        <v>1263938</v>
      </c>
      <c r="G16" s="22"/>
      <c r="H16" s="393" t="s">
        <v>55</v>
      </c>
      <c r="I16" s="393"/>
      <c r="J16" s="393"/>
      <c r="K16" s="257">
        <f>SUM(K15:N15)</f>
        <v>10718609.096000001</v>
      </c>
      <c r="L16" s="22"/>
      <c r="M16" s="22"/>
      <c r="N16" s="22"/>
      <c r="O16" s="22"/>
      <c r="P16" s="22"/>
      <c r="Q16" s="22"/>
      <c r="R16" s="22"/>
    </row>
    <row r="17" spans="1:21" ht="15" x14ac:dyDescent="0.25">
      <c r="B17" s="259">
        <v>44378</v>
      </c>
      <c r="C17" s="252">
        <v>4092576</v>
      </c>
      <c r="D17" s="259">
        <f t="shared" si="1"/>
        <v>44748</v>
      </c>
      <c r="E17" s="252">
        <v>3053858</v>
      </c>
      <c r="F17" s="261">
        <f>IF(C17-E17&lt;=0,"",C17-E17)</f>
        <v>1038718</v>
      </c>
      <c r="G17" s="22"/>
      <c r="H17" s="22"/>
      <c r="I17" s="22"/>
      <c r="J17" s="22"/>
      <c r="K17" s="189"/>
      <c r="L17" s="189"/>
      <c r="M17" s="189"/>
      <c r="N17" s="189"/>
      <c r="O17" s="22"/>
      <c r="P17" s="22"/>
      <c r="Q17" s="22"/>
      <c r="R17" s="22"/>
    </row>
    <row r="18" spans="1:21" ht="15" x14ac:dyDescent="0.25">
      <c r="B18" s="259">
        <v>44409</v>
      </c>
      <c r="C18" s="252">
        <v>3403971</v>
      </c>
      <c r="D18" s="259">
        <f t="shared" si="1"/>
        <v>44779</v>
      </c>
      <c r="E18" s="252">
        <v>2531821</v>
      </c>
      <c r="F18" s="261">
        <f t="shared" si="0"/>
        <v>872150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21" ht="15" x14ac:dyDescent="0.25">
      <c r="B19" s="259">
        <v>44440</v>
      </c>
      <c r="C19" s="252">
        <v>5946885</v>
      </c>
      <c r="D19" s="259">
        <f t="shared" si="1"/>
        <v>44810</v>
      </c>
      <c r="E19" s="252">
        <v>4460388</v>
      </c>
      <c r="F19" s="261">
        <f t="shared" si="0"/>
        <v>1486497</v>
      </c>
      <c r="G19" s="22"/>
      <c r="H19" s="406"/>
      <c r="I19" s="406"/>
      <c r="J19" s="406"/>
      <c r="K19" s="179"/>
      <c r="L19" s="180"/>
      <c r="M19" s="22"/>
      <c r="N19" s="22"/>
      <c r="O19" s="22"/>
      <c r="P19" s="22"/>
      <c r="Q19" s="22"/>
      <c r="R19" s="22"/>
    </row>
    <row r="20" spans="1:21" ht="18" x14ac:dyDescent="0.25">
      <c r="B20" s="259">
        <v>44470</v>
      </c>
      <c r="C20" s="252">
        <v>4179535</v>
      </c>
      <c r="D20" s="259">
        <f t="shared" si="1"/>
        <v>44841</v>
      </c>
      <c r="E20" s="252">
        <v>3129301</v>
      </c>
      <c r="F20" s="261">
        <f t="shared" si="0"/>
        <v>1050234</v>
      </c>
      <c r="G20" s="22"/>
      <c r="H20" s="404" t="s">
        <v>56</v>
      </c>
      <c r="I20" s="404"/>
      <c r="J20" s="404"/>
      <c r="K20" s="244" t="s">
        <v>57</v>
      </c>
      <c r="L20" s="245">
        <f>K16</f>
        <v>10718609.096000001</v>
      </c>
      <c r="M20" s="22"/>
      <c r="N20" s="22"/>
      <c r="O20" s="22"/>
      <c r="P20" s="22"/>
      <c r="Q20" s="22"/>
      <c r="R20" s="22"/>
      <c r="S20" s="22"/>
      <c r="T20" s="22"/>
    </row>
    <row r="21" spans="1:21" ht="15" x14ac:dyDescent="0.25">
      <c r="B21" s="259">
        <v>44501</v>
      </c>
      <c r="C21" s="252">
        <v>3870414</v>
      </c>
      <c r="D21" s="259">
        <f t="shared" si="1"/>
        <v>44872</v>
      </c>
      <c r="E21" s="252">
        <v>2905304</v>
      </c>
      <c r="F21" s="261">
        <f t="shared" si="0"/>
        <v>965110</v>
      </c>
      <c r="G21" s="22"/>
      <c r="H21" s="405" t="s">
        <v>58</v>
      </c>
      <c r="I21" s="405"/>
      <c r="J21" s="405"/>
      <c r="K21" s="247" t="s">
        <v>59</v>
      </c>
      <c r="L21" s="248">
        <f>Volume_2022!P130</f>
        <v>300475531.48000002</v>
      </c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5" customHeight="1" x14ac:dyDescent="0.25">
      <c r="B22" s="259">
        <v>44531</v>
      </c>
      <c r="C22" s="252">
        <v>3892205</v>
      </c>
      <c r="D22" s="259">
        <f t="shared" si="1"/>
        <v>44903</v>
      </c>
      <c r="E22" s="252">
        <v>2878963</v>
      </c>
      <c r="F22" s="261">
        <f t="shared" si="0"/>
        <v>1013242</v>
      </c>
      <c r="G22" s="22"/>
      <c r="H22" s="407" t="s">
        <v>60</v>
      </c>
      <c r="I22" s="407"/>
      <c r="J22" s="407"/>
      <c r="K22" s="249" t="s">
        <v>61</v>
      </c>
      <c r="L22" s="250">
        <f>L20/L21</f>
        <v>3.5672152881152129E-2</v>
      </c>
      <c r="M22" s="22"/>
      <c r="N22" s="22"/>
      <c r="O22" s="22"/>
    </row>
    <row r="23" spans="1:21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1" ht="15.75" x14ac:dyDescent="0.25">
      <c r="A24" s="22"/>
      <c r="B24" s="400" t="s">
        <v>62</v>
      </c>
      <c r="C24" s="400"/>
      <c r="D24" s="400"/>
      <c r="E24" s="400"/>
      <c r="F24" s="400"/>
      <c r="G24" s="22"/>
      <c r="H24" s="22"/>
      <c r="M24" s="22"/>
      <c r="N24" s="22"/>
    </row>
    <row r="25" spans="1:21" ht="15" x14ac:dyDescent="0.25">
      <c r="A25" s="22"/>
      <c r="B25" s="256" t="s">
        <v>42</v>
      </c>
      <c r="C25" s="256" t="s">
        <v>43</v>
      </c>
      <c r="D25" s="256" t="s">
        <v>44</v>
      </c>
      <c r="E25" s="256" t="s">
        <v>43</v>
      </c>
      <c r="F25" s="256" t="s">
        <v>45</v>
      </c>
      <c r="G25" s="22"/>
      <c r="H25" s="22"/>
    </row>
    <row r="26" spans="1:21" ht="15.75" customHeight="1" x14ac:dyDescent="0.25">
      <c r="A26" s="22"/>
      <c r="B26" s="247">
        <f>+B11</f>
        <v>44197</v>
      </c>
      <c r="C26" s="258">
        <v>144360</v>
      </c>
      <c r="D26" s="259">
        <f>+D11</f>
        <v>44562</v>
      </c>
      <c r="E26" s="258">
        <v>99959</v>
      </c>
      <c r="F26" s="260">
        <f t="shared" ref="F26:F37" si="3">IF(C26-E26&lt;=0,"",C26-E26)</f>
        <v>44401</v>
      </c>
      <c r="G26" s="22"/>
      <c r="H26" s="22"/>
    </row>
    <row r="27" spans="1:21" ht="15.75" customHeight="1" x14ac:dyDescent="0.25">
      <c r="A27" s="22"/>
      <c r="B27" s="247">
        <f t="shared" ref="B27:B37" si="4">+B12</f>
        <v>44228</v>
      </c>
      <c r="C27" s="258">
        <v>125681</v>
      </c>
      <c r="D27" s="259">
        <f t="shared" ref="D27:D37" si="5">+D12</f>
        <v>44593</v>
      </c>
      <c r="E27" s="258">
        <v>85850</v>
      </c>
      <c r="F27" s="260">
        <f t="shared" si="3"/>
        <v>39831</v>
      </c>
      <c r="G27" s="22"/>
      <c r="H27" s="22"/>
    </row>
    <row r="28" spans="1:21" ht="15.75" customHeight="1" x14ac:dyDescent="0.25">
      <c r="A28" s="22"/>
      <c r="B28" s="247">
        <f t="shared" si="4"/>
        <v>44256</v>
      </c>
      <c r="C28" s="258">
        <v>118397</v>
      </c>
      <c r="D28" s="259">
        <f t="shared" si="5"/>
        <v>44624</v>
      </c>
      <c r="E28" s="258">
        <v>81697</v>
      </c>
      <c r="F28" s="260">
        <f t="shared" si="3"/>
        <v>36700</v>
      </c>
      <c r="G28" s="22"/>
      <c r="H28" s="22"/>
    </row>
    <row r="29" spans="1:21" ht="15.75" customHeight="1" x14ac:dyDescent="0.25">
      <c r="A29" s="22"/>
      <c r="B29" s="247">
        <f t="shared" si="4"/>
        <v>44287</v>
      </c>
      <c r="C29" s="258">
        <v>119539</v>
      </c>
      <c r="D29" s="259">
        <f t="shared" si="5"/>
        <v>44655</v>
      </c>
      <c r="E29" s="258">
        <v>82802</v>
      </c>
      <c r="F29" s="260">
        <f t="shared" si="3"/>
        <v>36737</v>
      </c>
      <c r="G29" s="22"/>
      <c r="H29" s="22"/>
    </row>
    <row r="30" spans="1:21" ht="15.75" customHeight="1" x14ac:dyDescent="0.25">
      <c r="A30" s="22"/>
      <c r="B30" s="247">
        <f t="shared" si="4"/>
        <v>44317</v>
      </c>
      <c r="C30" s="258">
        <v>121048</v>
      </c>
      <c r="D30" s="259">
        <f t="shared" si="5"/>
        <v>44686</v>
      </c>
      <c r="E30" s="258">
        <v>84771</v>
      </c>
      <c r="F30" s="260">
        <f t="shared" si="3"/>
        <v>36277</v>
      </c>
      <c r="G30" s="22"/>
      <c r="H30" s="22"/>
    </row>
    <row r="31" spans="1:21" ht="15.75" customHeight="1" x14ac:dyDescent="0.25">
      <c r="A31" s="22"/>
      <c r="B31" s="247">
        <f t="shared" si="4"/>
        <v>44348</v>
      </c>
      <c r="C31" s="258">
        <v>135351</v>
      </c>
      <c r="D31" s="259">
        <f t="shared" si="5"/>
        <v>44717</v>
      </c>
      <c r="E31" s="258">
        <v>94302</v>
      </c>
      <c r="F31" s="260">
        <f t="shared" si="3"/>
        <v>41049</v>
      </c>
      <c r="G31" s="22"/>
      <c r="H31" s="22"/>
    </row>
    <row r="32" spans="1:21" ht="15.75" customHeight="1" x14ac:dyDescent="0.25">
      <c r="A32" s="22"/>
      <c r="B32" s="247">
        <f t="shared" si="4"/>
        <v>44378</v>
      </c>
      <c r="C32" s="258">
        <v>119170</v>
      </c>
      <c r="D32" s="259">
        <f t="shared" si="5"/>
        <v>44748</v>
      </c>
      <c r="E32" s="258">
        <v>82591</v>
      </c>
      <c r="F32" s="260">
        <f t="shared" si="3"/>
        <v>36579</v>
      </c>
      <c r="G32" s="22"/>
      <c r="H32" s="22"/>
    </row>
    <row r="33" spans="1:8" ht="15.75" customHeight="1" x14ac:dyDescent="0.25">
      <c r="A33" s="22"/>
      <c r="B33" s="247">
        <f t="shared" si="4"/>
        <v>44409</v>
      </c>
      <c r="C33" s="258">
        <v>99238</v>
      </c>
      <c r="D33" s="259">
        <f t="shared" si="5"/>
        <v>44779</v>
      </c>
      <c r="E33" s="258">
        <v>68641</v>
      </c>
      <c r="F33" s="260">
        <f t="shared" si="3"/>
        <v>30597</v>
      </c>
      <c r="G33" s="22"/>
      <c r="H33" s="22"/>
    </row>
    <row r="34" spans="1:8" ht="15.75" customHeight="1" x14ac:dyDescent="0.25">
      <c r="A34" s="22"/>
      <c r="B34" s="247">
        <f t="shared" si="4"/>
        <v>44440</v>
      </c>
      <c r="C34" s="258">
        <v>176769</v>
      </c>
      <c r="D34" s="259">
        <f t="shared" si="5"/>
        <v>44810</v>
      </c>
      <c r="E34" s="258">
        <v>125386</v>
      </c>
      <c r="F34" s="260">
        <f t="shared" si="3"/>
        <v>51383</v>
      </c>
      <c r="G34" s="22"/>
      <c r="H34" s="22"/>
    </row>
    <row r="35" spans="1:8" ht="15.75" customHeight="1" x14ac:dyDescent="0.25">
      <c r="B35" s="247">
        <f t="shared" si="4"/>
        <v>44470</v>
      </c>
      <c r="C35" s="258">
        <v>121437</v>
      </c>
      <c r="D35" s="259">
        <f t="shared" si="5"/>
        <v>44841</v>
      </c>
      <c r="E35" s="258">
        <v>86225</v>
      </c>
      <c r="F35" s="260">
        <f t="shared" si="3"/>
        <v>35212</v>
      </c>
      <c r="G35" s="22"/>
      <c r="H35" s="22"/>
    </row>
    <row r="36" spans="1:8" ht="15.75" customHeight="1" x14ac:dyDescent="0.25">
      <c r="B36" s="247">
        <f t="shared" si="4"/>
        <v>44501</v>
      </c>
      <c r="C36" s="258">
        <v>110596</v>
      </c>
      <c r="D36" s="259">
        <f t="shared" si="5"/>
        <v>44872</v>
      </c>
      <c r="E36" s="258">
        <v>77422</v>
      </c>
      <c r="F36" s="260">
        <f t="shared" si="3"/>
        <v>33174</v>
      </c>
      <c r="G36" s="22"/>
      <c r="H36" s="22"/>
    </row>
    <row r="37" spans="1:8" ht="15.75" customHeight="1" x14ac:dyDescent="0.25">
      <c r="B37" s="247">
        <f t="shared" si="4"/>
        <v>44531</v>
      </c>
      <c r="C37" s="258">
        <v>119864</v>
      </c>
      <c r="D37" s="259">
        <f t="shared" si="5"/>
        <v>44903</v>
      </c>
      <c r="E37" s="258">
        <v>84654</v>
      </c>
      <c r="F37" s="260">
        <f t="shared" si="3"/>
        <v>35210</v>
      </c>
      <c r="G37" s="22"/>
      <c r="H37" s="22"/>
    </row>
    <row r="38" spans="1:8" ht="16.5" customHeight="1" x14ac:dyDescent="0.25">
      <c r="D38" s="22"/>
      <c r="E38" s="22"/>
      <c r="F38" s="22"/>
      <c r="G38" s="22"/>
      <c r="H38" s="22"/>
    </row>
    <row r="39" spans="1:8" ht="16.5" customHeight="1" x14ac:dyDescent="0.25">
      <c r="B39" s="400" t="s">
        <v>63</v>
      </c>
      <c r="C39" s="400"/>
      <c r="D39" s="400"/>
      <c r="E39" s="400"/>
      <c r="F39" s="400"/>
      <c r="G39" s="22"/>
    </row>
    <row r="40" spans="1:8" ht="16.5" customHeight="1" x14ac:dyDescent="0.25">
      <c r="B40" s="256" t="s">
        <v>42</v>
      </c>
      <c r="C40" s="256" t="s">
        <v>43</v>
      </c>
      <c r="D40" s="256" t="s">
        <v>44</v>
      </c>
      <c r="E40" s="256" t="s">
        <v>43</v>
      </c>
      <c r="F40" s="256" t="s">
        <v>45</v>
      </c>
    </row>
    <row r="41" spans="1:8" ht="16.5" customHeight="1" x14ac:dyDescent="0.25">
      <c r="B41" s="247">
        <f>+B26</f>
        <v>44197</v>
      </c>
      <c r="C41" s="258">
        <v>353314</v>
      </c>
      <c r="D41" s="259">
        <f>+D26</f>
        <v>44562</v>
      </c>
      <c r="E41" s="258">
        <v>242692</v>
      </c>
      <c r="F41" s="260">
        <f t="shared" ref="F41:F52" si="6">IF(C41-E41&lt;=0,"",C41-E41)</f>
        <v>110622</v>
      </c>
      <c r="G41" s="24"/>
    </row>
    <row r="42" spans="1:8" ht="16.5" customHeight="1" x14ac:dyDescent="0.25">
      <c r="B42" s="247">
        <f t="shared" ref="B42:B52" si="7">+B27</f>
        <v>44228</v>
      </c>
      <c r="C42" s="258">
        <v>353257</v>
      </c>
      <c r="D42" s="259">
        <f t="shared" ref="D42:D52" si="8">+D27</f>
        <v>44593</v>
      </c>
      <c r="E42" s="258">
        <v>237165</v>
      </c>
      <c r="F42" s="260">
        <f t="shared" si="6"/>
        <v>116092</v>
      </c>
    </row>
    <row r="43" spans="1:8" ht="16.5" customHeight="1" x14ac:dyDescent="0.25">
      <c r="B43" s="247">
        <f t="shared" si="7"/>
        <v>44256</v>
      </c>
      <c r="C43" s="258">
        <v>317087</v>
      </c>
      <c r="D43" s="259">
        <f t="shared" si="8"/>
        <v>44624</v>
      </c>
      <c r="E43" s="258">
        <v>209602</v>
      </c>
      <c r="F43" s="260">
        <f t="shared" si="6"/>
        <v>107485</v>
      </c>
    </row>
    <row r="44" spans="1:8" ht="16.5" customHeight="1" x14ac:dyDescent="0.25">
      <c r="B44" s="247">
        <f t="shared" si="7"/>
        <v>44287</v>
      </c>
      <c r="C44" s="258">
        <v>257760</v>
      </c>
      <c r="D44" s="259">
        <f t="shared" si="8"/>
        <v>44655</v>
      </c>
      <c r="E44" s="258">
        <v>171971</v>
      </c>
      <c r="F44" s="260">
        <f t="shared" si="6"/>
        <v>85789</v>
      </c>
    </row>
    <row r="45" spans="1:8" ht="16.5" customHeight="1" x14ac:dyDescent="0.25">
      <c r="B45" s="247">
        <f t="shared" si="7"/>
        <v>44317</v>
      </c>
      <c r="C45" s="258">
        <v>298369</v>
      </c>
      <c r="D45" s="259">
        <f t="shared" si="8"/>
        <v>44686</v>
      </c>
      <c r="E45" s="258">
        <v>198607</v>
      </c>
      <c r="F45" s="260">
        <f t="shared" si="6"/>
        <v>99762</v>
      </c>
    </row>
    <row r="46" spans="1:8" ht="16.5" customHeight="1" x14ac:dyDescent="0.25">
      <c r="B46" s="247">
        <f t="shared" si="7"/>
        <v>44348</v>
      </c>
      <c r="C46" s="258">
        <v>361540</v>
      </c>
      <c r="D46" s="259">
        <f t="shared" si="8"/>
        <v>44717</v>
      </c>
      <c r="E46" s="258">
        <v>251635</v>
      </c>
      <c r="F46" s="260">
        <f t="shared" si="6"/>
        <v>109905</v>
      </c>
    </row>
    <row r="47" spans="1:8" ht="16.5" customHeight="1" x14ac:dyDescent="0.25">
      <c r="B47" s="247">
        <f t="shared" si="7"/>
        <v>44378</v>
      </c>
      <c r="C47" s="258">
        <v>339360</v>
      </c>
      <c r="D47" s="259">
        <f t="shared" si="8"/>
        <v>44748</v>
      </c>
      <c r="E47" s="258">
        <v>230876</v>
      </c>
      <c r="F47" s="260">
        <f t="shared" si="6"/>
        <v>108484</v>
      </c>
    </row>
    <row r="48" spans="1:8" ht="16.5" customHeight="1" x14ac:dyDescent="0.25">
      <c r="B48" s="247">
        <f t="shared" si="7"/>
        <v>44409</v>
      </c>
      <c r="C48" s="258">
        <v>281695</v>
      </c>
      <c r="D48" s="259">
        <f t="shared" si="8"/>
        <v>44779</v>
      </c>
      <c r="E48" s="258">
        <v>193037</v>
      </c>
      <c r="F48" s="260">
        <f t="shared" si="6"/>
        <v>88658</v>
      </c>
    </row>
    <row r="49" spans="2:6" ht="16.5" customHeight="1" x14ac:dyDescent="0.25">
      <c r="B49" s="247">
        <f t="shared" si="7"/>
        <v>44440</v>
      </c>
      <c r="C49" s="258">
        <v>435966</v>
      </c>
      <c r="D49" s="259">
        <f t="shared" si="8"/>
        <v>44810</v>
      </c>
      <c r="E49" s="258">
        <v>305420</v>
      </c>
      <c r="F49" s="260">
        <f t="shared" si="6"/>
        <v>130546</v>
      </c>
    </row>
    <row r="50" spans="2:6" ht="16.5" customHeight="1" x14ac:dyDescent="0.25">
      <c r="B50" s="247">
        <f t="shared" si="7"/>
        <v>44470</v>
      </c>
      <c r="C50" s="258">
        <v>380337</v>
      </c>
      <c r="D50" s="259">
        <f t="shared" si="8"/>
        <v>44841</v>
      </c>
      <c r="E50" s="258">
        <v>269710</v>
      </c>
      <c r="F50" s="260">
        <f t="shared" si="6"/>
        <v>110627</v>
      </c>
    </row>
    <row r="51" spans="2:6" ht="16.5" customHeight="1" x14ac:dyDescent="0.25">
      <c r="B51" s="247">
        <f t="shared" si="7"/>
        <v>44501</v>
      </c>
      <c r="C51" s="258">
        <v>363215</v>
      </c>
      <c r="D51" s="259">
        <f t="shared" si="8"/>
        <v>44872</v>
      </c>
      <c r="E51" s="258">
        <v>248583</v>
      </c>
      <c r="F51" s="260">
        <f t="shared" si="6"/>
        <v>114632</v>
      </c>
    </row>
    <row r="52" spans="2:6" ht="16.5" customHeight="1" x14ac:dyDescent="0.25">
      <c r="B52" s="247">
        <f t="shared" si="7"/>
        <v>44531</v>
      </c>
      <c r="C52" s="258">
        <v>373348</v>
      </c>
      <c r="D52" s="259">
        <f t="shared" si="8"/>
        <v>44903</v>
      </c>
      <c r="E52" s="258">
        <v>256398</v>
      </c>
      <c r="F52" s="260">
        <f t="shared" si="6"/>
        <v>116950</v>
      </c>
    </row>
    <row r="53" spans="2:6" ht="16.5" customHeight="1" x14ac:dyDescent="0.25"/>
    <row r="54" spans="2:6" ht="16.5" customHeight="1" x14ac:dyDescent="0.25">
      <c r="B54" s="400" t="s">
        <v>64</v>
      </c>
      <c r="C54" s="400"/>
      <c r="D54" s="400"/>
      <c r="E54" s="400"/>
      <c r="F54" s="400"/>
    </row>
    <row r="55" spans="2:6" ht="16.5" customHeight="1" x14ac:dyDescent="0.25">
      <c r="B55" s="256" t="s">
        <v>42</v>
      </c>
      <c r="C55" s="256" t="s">
        <v>43</v>
      </c>
      <c r="D55" s="256" t="s">
        <v>44</v>
      </c>
      <c r="E55" s="256" t="s">
        <v>43</v>
      </c>
      <c r="F55" s="256" t="s">
        <v>45</v>
      </c>
    </row>
    <row r="56" spans="2:6" ht="16.5" customHeight="1" x14ac:dyDescent="0.25">
      <c r="B56" s="247">
        <f>+B41</f>
        <v>44197</v>
      </c>
      <c r="C56" s="258">
        <v>6967</v>
      </c>
      <c r="D56" s="259">
        <f>+D41</f>
        <v>44562</v>
      </c>
      <c r="E56" s="258">
        <v>4040</v>
      </c>
      <c r="F56" s="260">
        <f t="shared" ref="F56:F67" si="9">IF(C56-E56&lt;=0,"",C56-E56)</f>
        <v>2927</v>
      </c>
    </row>
    <row r="57" spans="2:6" ht="16.5" customHeight="1" x14ac:dyDescent="0.25">
      <c r="B57" s="247">
        <f t="shared" ref="B57:B67" si="10">+B42</f>
        <v>44228</v>
      </c>
      <c r="C57" s="258">
        <v>7697</v>
      </c>
      <c r="D57" s="259">
        <f t="shared" ref="D57:D67" si="11">+D42</f>
        <v>44593</v>
      </c>
      <c r="E57" s="258">
        <v>4911</v>
      </c>
      <c r="F57" s="260">
        <f t="shared" si="9"/>
        <v>2786</v>
      </c>
    </row>
    <row r="58" spans="2:6" ht="16.5" customHeight="1" x14ac:dyDescent="0.25">
      <c r="B58" s="247">
        <f t="shared" si="10"/>
        <v>44256</v>
      </c>
      <c r="C58" s="258">
        <v>7402</v>
      </c>
      <c r="D58" s="259">
        <f t="shared" si="11"/>
        <v>44624</v>
      </c>
      <c r="E58" s="258">
        <v>4637</v>
      </c>
      <c r="F58" s="260">
        <f t="shared" si="9"/>
        <v>2765</v>
      </c>
    </row>
    <row r="59" spans="2:6" ht="16.5" customHeight="1" x14ac:dyDescent="0.25">
      <c r="B59" s="247">
        <f t="shared" si="10"/>
        <v>44287</v>
      </c>
      <c r="C59" s="258">
        <v>5607</v>
      </c>
      <c r="D59" s="259">
        <f t="shared" si="11"/>
        <v>44655</v>
      </c>
      <c r="E59" s="258">
        <v>3609</v>
      </c>
      <c r="F59" s="260">
        <f t="shared" si="9"/>
        <v>1998</v>
      </c>
    </row>
    <row r="60" spans="2:6" ht="16.5" customHeight="1" x14ac:dyDescent="0.25">
      <c r="B60" s="247">
        <f t="shared" si="10"/>
        <v>44317</v>
      </c>
      <c r="C60" s="258">
        <v>6387</v>
      </c>
      <c r="D60" s="259">
        <f t="shared" si="11"/>
        <v>44686</v>
      </c>
      <c r="E60" s="258">
        <v>4081</v>
      </c>
      <c r="F60" s="260">
        <f t="shared" si="9"/>
        <v>2306</v>
      </c>
    </row>
    <row r="61" spans="2:6" ht="16.5" customHeight="1" x14ac:dyDescent="0.25">
      <c r="B61" s="247">
        <f t="shared" si="10"/>
        <v>44348</v>
      </c>
      <c r="C61" s="258">
        <v>9516</v>
      </c>
      <c r="D61" s="259">
        <f t="shared" si="11"/>
        <v>44717</v>
      </c>
      <c r="E61" s="258">
        <v>6267</v>
      </c>
      <c r="F61" s="260">
        <f t="shared" si="9"/>
        <v>3249</v>
      </c>
    </row>
    <row r="62" spans="2:6" ht="16.5" customHeight="1" x14ac:dyDescent="0.25">
      <c r="B62" s="247">
        <f t="shared" si="10"/>
        <v>44378</v>
      </c>
      <c r="C62" s="258">
        <v>9084</v>
      </c>
      <c r="D62" s="259">
        <f t="shared" si="11"/>
        <v>44748</v>
      </c>
      <c r="E62" s="258">
        <v>6041</v>
      </c>
      <c r="F62" s="260">
        <f t="shared" si="9"/>
        <v>3043</v>
      </c>
    </row>
    <row r="63" spans="2:6" ht="16.5" customHeight="1" x14ac:dyDescent="0.25">
      <c r="B63" s="247">
        <f t="shared" si="10"/>
        <v>44409</v>
      </c>
      <c r="C63" s="258">
        <v>9618</v>
      </c>
      <c r="D63" s="259">
        <f t="shared" si="11"/>
        <v>44779</v>
      </c>
      <c r="E63" s="258">
        <v>6336</v>
      </c>
      <c r="F63" s="260">
        <f t="shared" si="9"/>
        <v>3282</v>
      </c>
    </row>
    <row r="64" spans="2:6" ht="16.5" customHeight="1" x14ac:dyDescent="0.25">
      <c r="B64" s="247">
        <f t="shared" si="10"/>
        <v>44440</v>
      </c>
      <c r="C64" s="258">
        <v>13045</v>
      </c>
      <c r="D64" s="259">
        <f t="shared" si="11"/>
        <v>44810</v>
      </c>
      <c r="E64" s="258">
        <v>8852</v>
      </c>
      <c r="F64" s="260">
        <f t="shared" si="9"/>
        <v>4193</v>
      </c>
    </row>
    <row r="65" spans="2:6" ht="16.5" customHeight="1" x14ac:dyDescent="0.25">
      <c r="B65" s="247">
        <f t="shared" si="10"/>
        <v>44470</v>
      </c>
      <c r="C65" s="258">
        <v>9679</v>
      </c>
      <c r="D65" s="259">
        <f t="shared" si="11"/>
        <v>44841</v>
      </c>
      <c r="E65" s="258">
        <v>6632</v>
      </c>
      <c r="F65" s="260">
        <f t="shared" si="9"/>
        <v>3047</v>
      </c>
    </row>
    <row r="66" spans="2:6" ht="16.5" customHeight="1" x14ac:dyDescent="0.25">
      <c r="B66" s="247">
        <f t="shared" si="10"/>
        <v>44501</v>
      </c>
      <c r="C66" s="258">
        <v>9387</v>
      </c>
      <c r="D66" s="259">
        <f t="shared" si="11"/>
        <v>44872</v>
      </c>
      <c r="E66" s="258">
        <v>6339</v>
      </c>
      <c r="F66" s="260">
        <f t="shared" si="9"/>
        <v>3048</v>
      </c>
    </row>
    <row r="67" spans="2:6" ht="16.5" customHeight="1" x14ac:dyDescent="0.25">
      <c r="B67" s="247">
        <f t="shared" si="10"/>
        <v>44531</v>
      </c>
      <c r="C67" s="258">
        <v>9956</v>
      </c>
      <c r="D67" s="259">
        <f t="shared" si="11"/>
        <v>44903</v>
      </c>
      <c r="E67" s="258">
        <v>6750</v>
      </c>
      <c r="F67" s="260">
        <f t="shared" si="9"/>
        <v>3206</v>
      </c>
    </row>
    <row r="68" spans="2:6" ht="16.5" customHeight="1" x14ac:dyDescent="0.25"/>
    <row r="69" spans="2:6" ht="16.5" customHeight="1" x14ac:dyDescent="0.25"/>
  </sheetData>
  <mergeCells count="16">
    <mergeCell ref="B39:F39"/>
    <mergeCell ref="B54:F54"/>
    <mergeCell ref="B9:F9"/>
    <mergeCell ref="H16:J16"/>
    <mergeCell ref="H11:J11"/>
    <mergeCell ref="H12:J12"/>
    <mergeCell ref="H13:J13"/>
    <mergeCell ref="H14:J14"/>
    <mergeCell ref="H9:N9"/>
    <mergeCell ref="H10:J10"/>
    <mergeCell ref="B24:F24"/>
    <mergeCell ref="H15:J15"/>
    <mergeCell ref="H20:J20"/>
    <mergeCell ref="H21:J21"/>
    <mergeCell ref="H19:J19"/>
    <mergeCell ref="H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121F-EB91-40C3-8881-7C92AC124AB4}">
  <sheetPr>
    <tabColor theme="3" tint="0.59999389629810485"/>
  </sheetPr>
  <dimension ref="A1:Z58"/>
  <sheetViews>
    <sheetView showGridLines="0" zoomScale="90" zoomScaleNormal="90" workbookViewId="0"/>
  </sheetViews>
  <sheetFormatPr defaultColWidth="0" defaultRowHeight="0" customHeight="1" zeroHeight="1" x14ac:dyDescent="0.25"/>
  <cols>
    <col min="1" max="2" width="9.140625" customWidth="1"/>
    <col min="3" max="3" width="12" customWidth="1"/>
    <col min="4" max="5" width="9.140625" customWidth="1"/>
    <col min="6" max="7" width="10.42578125" bestFit="1" customWidth="1"/>
    <col min="8" max="8" width="10.42578125" customWidth="1"/>
    <col min="9" max="9" width="10.42578125" bestFit="1" customWidth="1"/>
    <col min="10" max="11" width="9.140625" customWidth="1"/>
    <col min="12" max="13" width="18.7109375" customWidth="1"/>
    <col min="14" max="14" width="29.5703125" customWidth="1"/>
    <col min="15" max="15" width="18.7109375" customWidth="1"/>
    <col min="16" max="16" width="47.28515625" customWidth="1"/>
    <col min="17" max="17" width="14.140625" hidden="1" customWidth="1"/>
    <col min="18" max="24" width="0" hidden="1" customWidth="1"/>
    <col min="25" max="26" width="14.140625" hidden="1" customWidth="1"/>
    <col min="27" max="16384" width="9.140625" hidden="1"/>
  </cols>
  <sheetData>
    <row r="1" spans="1:16" s="22" customFormat="1" ht="3" customHeight="1" x14ac:dyDescent="0.25"/>
    <row r="2" spans="1:16" s="22" customFormat="1" ht="15" x14ac:dyDescent="0.25"/>
    <row r="3" spans="1:16" s="91" customFormat="1" ht="15" x14ac:dyDescent="0.25"/>
    <row r="4" spans="1:16" s="91" customFormat="1" ht="15" x14ac:dyDescent="0.25"/>
    <row r="5" spans="1:16" s="91" customFormat="1" ht="20.100000000000001" customHeight="1" x14ac:dyDescent="0.25"/>
    <row r="6" spans="1:16" ht="15" x14ac:dyDescent="0.25"/>
    <row r="7" spans="1:16" ht="15" x14ac:dyDescent="0.25">
      <c r="A7" s="22"/>
      <c r="B7" s="22"/>
      <c r="C7" s="109"/>
      <c r="D7" s="109"/>
      <c r="E7" s="109"/>
      <c r="F7" s="109"/>
      <c r="G7" s="109"/>
      <c r="H7" s="109"/>
      <c r="I7" s="109"/>
      <c r="J7" s="110"/>
      <c r="K7" s="110"/>
      <c r="L7" s="109"/>
      <c r="M7" s="109"/>
      <c r="N7" s="109"/>
      <c r="O7" s="109"/>
      <c r="P7" s="109"/>
    </row>
    <row r="8" spans="1:16" ht="15.75" customHeight="1" x14ac:dyDescent="0.25">
      <c r="A8" s="22"/>
      <c r="B8" s="22"/>
      <c r="C8" s="111"/>
      <c r="D8" s="111"/>
      <c r="E8" s="111"/>
      <c r="F8" s="112"/>
      <c r="G8" s="112"/>
      <c r="H8" s="112"/>
      <c r="I8" s="112"/>
      <c r="J8" s="110"/>
      <c r="K8" s="110"/>
      <c r="L8" s="112"/>
      <c r="M8" s="112"/>
      <c r="N8" s="112"/>
      <c r="O8" s="112"/>
      <c r="P8" s="112"/>
    </row>
    <row r="9" spans="1:16" ht="15" x14ac:dyDescent="0.25">
      <c r="A9" s="22"/>
      <c r="B9" s="22"/>
      <c r="C9" s="113"/>
      <c r="D9" s="113"/>
      <c r="E9" s="113"/>
      <c r="F9" s="114"/>
      <c r="G9" s="114"/>
      <c r="H9" s="114"/>
      <c r="I9" s="114"/>
      <c r="J9" s="115"/>
      <c r="K9" s="115"/>
      <c r="L9" s="107"/>
      <c r="M9" s="116"/>
      <c r="N9" s="116"/>
      <c r="O9" s="116"/>
      <c r="P9" s="107"/>
    </row>
    <row r="10" spans="1:16" ht="15" x14ac:dyDescent="0.25">
      <c r="A10" s="22"/>
      <c r="B10" s="22"/>
      <c r="C10" s="113"/>
      <c r="D10" s="113"/>
      <c r="E10" s="113"/>
      <c r="F10" s="114"/>
      <c r="G10" s="114"/>
      <c r="H10" s="114"/>
      <c r="I10" s="114"/>
      <c r="J10" s="117"/>
      <c r="K10" s="117"/>
      <c r="L10" s="107"/>
      <c r="M10" s="116"/>
      <c r="N10" s="116"/>
      <c r="O10" s="116"/>
      <c r="P10" s="107"/>
    </row>
    <row r="11" spans="1:16" ht="15" x14ac:dyDescent="0.25">
      <c r="A11" s="22"/>
      <c r="B11" s="22"/>
      <c r="C11" s="113"/>
      <c r="D11" s="113"/>
      <c r="E11" s="113"/>
      <c r="F11" s="114"/>
      <c r="G11" s="114"/>
      <c r="H11" s="114"/>
      <c r="I11" s="114"/>
      <c r="J11" s="117"/>
      <c r="K11" s="117"/>
      <c r="L11" s="107"/>
      <c r="M11" s="116"/>
      <c r="N11" s="116"/>
      <c r="O11" s="116"/>
      <c r="P11" s="107"/>
    </row>
    <row r="12" spans="1:16" ht="15" x14ac:dyDescent="0.25">
      <c r="A12" s="22"/>
      <c r="B12" s="22"/>
      <c r="C12" s="113"/>
      <c r="D12" s="113"/>
      <c r="E12" s="113"/>
      <c r="F12" s="114"/>
      <c r="G12" s="114"/>
      <c r="H12" s="114"/>
      <c r="I12" s="114"/>
      <c r="J12" s="117"/>
      <c r="K12" s="117"/>
      <c r="L12" s="107"/>
      <c r="M12" s="116"/>
      <c r="N12" s="116"/>
      <c r="O12" s="116"/>
      <c r="P12" s="107"/>
    </row>
    <row r="13" spans="1:16" ht="15" x14ac:dyDescent="0.25">
      <c r="A13" s="22"/>
      <c r="B13" s="22"/>
      <c r="C13" s="113"/>
      <c r="D13" s="113"/>
      <c r="E13" s="113"/>
      <c r="F13" s="114"/>
      <c r="G13" s="114"/>
      <c r="H13" s="114"/>
      <c r="I13" s="114"/>
      <c r="J13" s="117"/>
      <c r="K13" s="117"/>
      <c r="L13" s="107"/>
      <c r="M13" s="116"/>
      <c r="N13" s="116"/>
      <c r="O13" s="116"/>
      <c r="P13" s="107"/>
    </row>
    <row r="14" spans="1:16" ht="15" x14ac:dyDescent="0.25">
      <c r="A14" s="22"/>
      <c r="B14" s="22"/>
      <c r="C14" s="113"/>
      <c r="D14" s="113"/>
      <c r="E14" s="113"/>
      <c r="F14" s="114"/>
      <c r="G14" s="114"/>
      <c r="H14" s="114"/>
      <c r="I14" s="114"/>
      <c r="J14" s="117"/>
      <c r="K14" s="117"/>
      <c r="L14" s="107"/>
      <c r="M14" s="116"/>
      <c r="N14" s="116"/>
      <c r="O14" s="116"/>
      <c r="P14" s="107"/>
    </row>
    <row r="15" spans="1:16" ht="15" x14ac:dyDescent="0.25">
      <c r="A15" s="22"/>
      <c r="B15" s="22"/>
      <c r="C15" s="113"/>
      <c r="D15" s="113"/>
      <c r="E15" s="113"/>
      <c r="F15" s="114"/>
      <c r="G15" s="114"/>
      <c r="H15" s="114"/>
      <c r="I15" s="114"/>
      <c r="J15" s="117"/>
      <c r="K15" s="117"/>
      <c r="L15" s="107"/>
      <c r="M15" s="116"/>
      <c r="N15" s="116"/>
      <c r="O15" s="116"/>
      <c r="P15" s="107"/>
    </row>
    <row r="16" spans="1:16" ht="15" x14ac:dyDescent="0.25">
      <c r="A16" s="22"/>
      <c r="B16" s="22"/>
      <c r="C16" s="113"/>
      <c r="D16" s="113"/>
      <c r="E16" s="113"/>
      <c r="F16" s="114"/>
      <c r="G16" s="114"/>
      <c r="H16" s="114"/>
      <c r="I16" s="114"/>
      <c r="J16" s="117"/>
      <c r="K16" s="117"/>
      <c r="L16" s="107"/>
      <c r="M16" s="116"/>
      <c r="N16" s="116"/>
      <c r="O16" s="116"/>
      <c r="P16" s="107"/>
    </row>
    <row r="17" spans="1:16" ht="15" x14ac:dyDescent="0.25">
      <c r="A17" s="22"/>
      <c r="B17" s="22"/>
      <c r="C17" s="113"/>
      <c r="D17" s="113"/>
      <c r="E17" s="113"/>
      <c r="F17" s="114"/>
      <c r="G17" s="114"/>
      <c r="H17" s="114"/>
      <c r="I17" s="114"/>
      <c r="J17" s="117"/>
      <c r="K17" s="117"/>
      <c r="L17" s="107"/>
      <c r="M17" s="116"/>
      <c r="N17" s="116"/>
      <c r="O17" s="116"/>
      <c r="P17" s="107"/>
    </row>
    <row r="18" spans="1:16" ht="15" x14ac:dyDescent="0.25">
      <c r="A18" s="22"/>
      <c r="B18" s="22"/>
      <c r="C18" s="113"/>
      <c r="D18" s="113"/>
      <c r="E18" s="113"/>
      <c r="F18" s="114"/>
      <c r="G18" s="114"/>
      <c r="H18" s="114"/>
      <c r="I18" s="114"/>
      <c r="J18" s="117"/>
      <c r="K18" s="117"/>
      <c r="L18" s="107"/>
      <c r="M18" s="116"/>
      <c r="N18" s="116"/>
      <c r="O18" s="116"/>
      <c r="P18" s="107"/>
    </row>
    <row r="19" spans="1:16" ht="15" x14ac:dyDescent="0.25">
      <c r="A19" s="22"/>
      <c r="B19" s="22"/>
      <c r="C19" s="113"/>
      <c r="D19" s="113"/>
      <c r="E19" s="113"/>
      <c r="F19" s="114"/>
      <c r="G19" s="114"/>
      <c r="H19" s="114"/>
      <c r="I19" s="114"/>
      <c r="J19" s="117"/>
      <c r="K19" s="117"/>
      <c r="L19" s="107"/>
      <c r="M19" s="116"/>
      <c r="N19" s="116"/>
      <c r="O19" s="116"/>
      <c r="P19" s="107"/>
    </row>
    <row r="20" spans="1:16" ht="15" x14ac:dyDescent="0.25">
      <c r="A20" s="22"/>
      <c r="B20" s="22"/>
      <c r="C20" s="113"/>
      <c r="D20" s="113"/>
      <c r="E20" s="113"/>
      <c r="F20" s="114"/>
      <c r="G20" s="114"/>
      <c r="H20" s="114"/>
      <c r="I20" s="114"/>
      <c r="J20" s="117"/>
      <c r="K20" s="117"/>
      <c r="L20" s="107"/>
      <c r="M20" s="116"/>
      <c r="N20" s="116"/>
      <c r="O20" s="116"/>
      <c r="P20" s="107"/>
    </row>
    <row r="21" spans="1:16" ht="15" customHeight="1" x14ac:dyDescent="0.25">
      <c r="A21" s="22"/>
      <c r="B21" s="22"/>
      <c r="C21" s="113"/>
      <c r="D21" s="113"/>
      <c r="E21" s="113"/>
      <c r="F21" s="114"/>
      <c r="G21" s="114"/>
      <c r="H21" s="114"/>
      <c r="I21" s="114"/>
      <c r="J21" s="117"/>
      <c r="K21" s="117"/>
      <c r="L21" s="118"/>
      <c r="M21" s="119"/>
      <c r="N21" s="119"/>
      <c r="O21" s="119"/>
      <c r="P21" s="118"/>
    </row>
    <row r="22" spans="1:16" ht="15" customHeight="1" x14ac:dyDescent="0.25">
      <c r="A22" s="22"/>
      <c r="B22" s="22"/>
      <c r="C22" s="109"/>
      <c r="D22" s="109"/>
      <c r="E22" s="109"/>
      <c r="F22" s="120"/>
      <c r="G22" s="120"/>
      <c r="H22" s="120"/>
      <c r="I22" s="120"/>
      <c r="J22" s="117"/>
      <c r="K22" s="117"/>
      <c r="L22" s="121"/>
      <c r="M22" s="110"/>
      <c r="N22" s="110"/>
      <c r="O22" s="110"/>
      <c r="P22" s="110"/>
    </row>
    <row r="23" spans="1:16" ht="15" customHeight="1" x14ac:dyDescent="0.25">
      <c r="A23" s="22"/>
      <c r="B23" s="22"/>
      <c r="C23" s="122"/>
      <c r="D23" s="123"/>
      <c r="E23" s="123"/>
      <c r="F23" s="110"/>
      <c r="G23" s="110"/>
      <c r="H23" s="110"/>
      <c r="I23" s="110"/>
      <c r="J23" s="124"/>
      <c r="K23" s="124"/>
      <c r="L23" s="121"/>
      <c r="M23" s="110"/>
      <c r="N23" s="110"/>
      <c r="O23" s="110"/>
      <c r="P23" s="110"/>
    </row>
    <row r="24" spans="1:16" ht="15" x14ac:dyDescent="0.25">
      <c r="A24" s="22"/>
      <c r="B24" s="22"/>
      <c r="C24" s="110"/>
      <c r="D24" s="125"/>
      <c r="E24" s="125"/>
      <c r="F24" s="110"/>
      <c r="G24" s="110"/>
      <c r="H24" s="110"/>
      <c r="I24" s="110"/>
      <c r="J24" s="110"/>
      <c r="K24" s="110"/>
      <c r="L24" s="122"/>
      <c r="M24" s="110"/>
      <c r="N24" s="110"/>
      <c r="O24" s="110"/>
      <c r="P24" s="110"/>
    </row>
    <row r="25" spans="1:16" ht="15" x14ac:dyDescent="0.25">
      <c r="A25" s="22"/>
      <c r="B25" s="22"/>
      <c r="C25" s="110"/>
      <c r="D25" s="125"/>
      <c r="E25" s="125"/>
      <c r="F25" s="110"/>
      <c r="G25" s="110"/>
      <c r="H25" s="110"/>
      <c r="I25" s="110"/>
      <c r="J25" s="110"/>
      <c r="K25" s="110"/>
      <c r="L25" s="123"/>
      <c r="M25" s="110"/>
      <c r="N25" s="110"/>
      <c r="O25" s="110"/>
      <c r="P25" s="110"/>
    </row>
    <row r="26" spans="1:16" ht="15" x14ac:dyDescent="0.25">
      <c r="A26" s="22"/>
      <c r="B26" s="22"/>
      <c r="C26" s="110"/>
      <c r="D26" s="125"/>
      <c r="E26" s="125"/>
      <c r="F26" s="110"/>
      <c r="G26" s="110"/>
      <c r="H26" s="110"/>
      <c r="I26" s="110"/>
      <c r="J26" s="110"/>
      <c r="K26" s="110"/>
      <c r="L26" s="109"/>
      <c r="M26" s="109"/>
      <c r="N26" s="109"/>
      <c r="O26" s="109"/>
      <c r="P26" s="109"/>
    </row>
    <row r="27" spans="1:16" ht="16.5" customHeight="1" x14ac:dyDescent="0.25">
      <c r="A27" s="22"/>
      <c r="B27" s="22"/>
      <c r="C27" s="110"/>
      <c r="D27" s="110"/>
      <c r="E27" s="110"/>
      <c r="F27" s="110"/>
      <c r="G27" s="110"/>
      <c r="H27" s="110"/>
      <c r="I27" s="110"/>
      <c r="J27" s="110"/>
      <c r="K27" s="110"/>
      <c r="L27" s="111"/>
      <c r="M27" s="111"/>
      <c r="N27" s="111"/>
      <c r="O27" s="111"/>
      <c r="P27" s="112"/>
    </row>
    <row r="28" spans="1:16" ht="15" customHeight="1" x14ac:dyDescent="0.25">
      <c r="A28" s="22"/>
      <c r="B28" s="22"/>
      <c r="C28" s="110"/>
      <c r="D28" s="110"/>
      <c r="E28" s="106"/>
      <c r="F28" s="106"/>
      <c r="G28" s="110"/>
      <c r="H28" s="110"/>
      <c r="I28" s="110"/>
      <c r="J28" s="110"/>
      <c r="K28" s="110"/>
      <c r="L28" s="108"/>
      <c r="M28" s="108"/>
      <c r="N28" s="108"/>
      <c r="O28" s="108"/>
      <c r="P28" s="126"/>
    </row>
    <row r="29" spans="1:16" ht="15" customHeight="1" x14ac:dyDescent="0.25">
      <c r="A29" s="22"/>
      <c r="B29" s="22"/>
      <c r="C29" s="110"/>
      <c r="D29" s="110"/>
      <c r="E29" s="110"/>
      <c r="F29" s="110"/>
      <c r="G29" s="110"/>
      <c r="H29" s="110"/>
      <c r="I29" s="110"/>
      <c r="J29" s="110"/>
      <c r="K29" s="110"/>
      <c r="L29" s="108"/>
      <c r="M29" s="108"/>
      <c r="N29" s="108"/>
      <c r="O29" s="108"/>
      <c r="P29" s="126"/>
    </row>
    <row r="30" spans="1:16" ht="15" x14ac:dyDescent="0.25">
      <c r="A30" s="22"/>
      <c r="B30" s="22"/>
      <c r="C30" s="110"/>
      <c r="D30" s="106" t="s">
        <v>30</v>
      </c>
      <c r="E30" s="110"/>
      <c r="F30" s="110"/>
      <c r="G30" s="110"/>
      <c r="H30" s="110"/>
      <c r="I30" s="110"/>
      <c r="J30" s="110"/>
      <c r="K30" s="110"/>
      <c r="L30" s="109"/>
      <c r="M30" s="109"/>
      <c r="N30" s="109"/>
      <c r="O30" s="109"/>
      <c r="P30" s="109"/>
    </row>
    <row r="31" spans="1:16" ht="15" x14ac:dyDescent="0.25">
      <c r="A31" s="22"/>
      <c r="B31" s="22"/>
      <c r="C31" s="110"/>
      <c r="D31" s="110"/>
      <c r="E31" s="110"/>
      <c r="F31" s="110"/>
      <c r="G31" s="110"/>
      <c r="H31" s="110"/>
      <c r="I31" s="110"/>
      <c r="J31" s="110"/>
      <c r="K31" s="110"/>
      <c r="L31" s="22"/>
      <c r="M31" s="22"/>
      <c r="N31" s="22"/>
      <c r="O31" s="22"/>
      <c r="P31" s="22"/>
    </row>
    <row r="32" spans="1:16" ht="24.75" customHeight="1" x14ac:dyDescent="0.25">
      <c r="C32" s="30"/>
      <c r="D32" s="110"/>
      <c r="E32" s="30"/>
      <c r="F32" s="30"/>
      <c r="G32" s="30"/>
      <c r="H32" s="30"/>
      <c r="I32" s="30"/>
      <c r="J32" s="30"/>
      <c r="K32" s="30"/>
    </row>
    <row r="33" spans="4:4" ht="21" customHeight="1" x14ac:dyDescent="0.25">
      <c r="D33" s="110"/>
    </row>
    <row r="34" spans="4:4" ht="21.75" customHeight="1" x14ac:dyDescent="0.25">
      <c r="D34" s="30"/>
    </row>
    <row r="35" spans="4:4" ht="15" customHeight="1" x14ac:dyDescent="0.25"/>
    <row r="36" spans="4:4" ht="15" hidden="1" customHeight="1" x14ac:dyDescent="0.25"/>
    <row r="37" spans="4:4" ht="15" hidden="1" customHeight="1" x14ac:dyDescent="0.25"/>
    <row r="38" spans="4:4" ht="15" hidden="1" customHeight="1" x14ac:dyDescent="0.25"/>
    <row r="39" spans="4:4" ht="15" hidden="1" customHeight="1" x14ac:dyDescent="0.25"/>
    <row r="40" spans="4:4" ht="15" hidden="1" customHeight="1" x14ac:dyDescent="0.25"/>
    <row r="41" spans="4:4" ht="15" hidden="1" customHeight="1" x14ac:dyDescent="0.25"/>
    <row r="42" spans="4:4" ht="15" hidden="1" customHeight="1" x14ac:dyDescent="0.25"/>
    <row r="43" spans="4:4" ht="15" hidden="1" customHeight="1" x14ac:dyDescent="0.25"/>
    <row r="44" spans="4:4" ht="15" hidden="1" customHeight="1" x14ac:dyDescent="0.25"/>
    <row r="45" spans="4:4" ht="15" hidden="1" customHeight="1" x14ac:dyDescent="0.25"/>
    <row r="46" spans="4:4" ht="15" hidden="1" customHeight="1" x14ac:dyDescent="0.25"/>
    <row r="47" spans="4:4" ht="15" hidden="1" customHeight="1" x14ac:dyDescent="0.25"/>
    <row r="48" spans="4:4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3" tint="0.39997558519241921"/>
    <pageSetUpPr fitToPage="1"/>
  </sheetPr>
  <dimension ref="A1:T135"/>
  <sheetViews>
    <sheetView showGridLines="0" topLeftCell="A96" zoomScale="90" zoomScaleNormal="90" workbookViewId="0">
      <selection activeCell="P130" sqref="P130"/>
    </sheetView>
  </sheetViews>
  <sheetFormatPr defaultColWidth="0" defaultRowHeight="15" zeroHeight="1" x14ac:dyDescent="0.25"/>
  <cols>
    <col min="1" max="1" width="5.7109375" style="30" customWidth="1"/>
    <col min="2" max="2" width="27.85546875" style="30" bestFit="1" customWidth="1"/>
    <col min="3" max="3" width="8.28515625" style="30" customWidth="1"/>
    <col min="4" max="15" width="13.7109375" style="30" customWidth="1"/>
    <col min="16" max="16" width="16.140625" style="30" customWidth="1"/>
    <col min="17" max="18" width="10.85546875" style="30" customWidth="1"/>
    <col min="19" max="19" width="12.140625" style="30" hidden="1" customWidth="1"/>
    <col min="20" max="20" width="8.7109375" style="30" hidden="1" customWidth="1"/>
    <col min="21" max="16384" width="8.85546875" style="30" hidden="1"/>
  </cols>
  <sheetData>
    <row r="1" spans="1:20" ht="3" customHeight="1" x14ac:dyDescent="0.25"/>
    <row r="2" spans="1:20" ht="14.25" customHeight="1" x14ac:dyDescent="0.25">
      <c r="J2" s="101"/>
      <c r="K2" s="101"/>
      <c r="L2" s="101"/>
      <c r="M2" s="101"/>
      <c r="N2" s="101"/>
      <c r="O2" s="101"/>
    </row>
    <row r="3" spans="1:20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0" ht="15" customHeight="1" x14ac:dyDescent="0.25">
      <c r="A4" s="153"/>
      <c r="B4" s="153"/>
      <c r="C4" s="153"/>
      <c r="D4" s="153"/>
      <c r="E4" s="153"/>
      <c r="F4" s="154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</row>
    <row r="5" spans="1:20" ht="20.100000000000001" customHeight="1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0" x14ac:dyDescent="0.25"/>
    <row r="7" spans="1:20" x14ac:dyDescent="0.25"/>
    <row r="8" spans="1:20" ht="18" x14ac:dyDescent="0.25">
      <c r="B8" s="400" t="s">
        <v>65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</row>
    <row r="9" spans="1:20" x14ac:dyDescent="0.25">
      <c r="B9" s="412"/>
      <c r="C9" s="412"/>
      <c r="D9" s="295">
        <v>44562</v>
      </c>
      <c r="E9" s="295">
        <v>44593</v>
      </c>
      <c r="F9" s="295">
        <v>44621</v>
      </c>
      <c r="G9" s="295">
        <v>44652</v>
      </c>
      <c r="H9" s="295">
        <v>44682</v>
      </c>
      <c r="I9" s="295">
        <v>44713</v>
      </c>
      <c r="J9" s="295">
        <v>44743</v>
      </c>
      <c r="K9" s="295">
        <v>44774</v>
      </c>
      <c r="L9" s="295">
        <v>44805</v>
      </c>
      <c r="M9" s="295">
        <v>44835</v>
      </c>
      <c r="N9" s="295">
        <v>44866</v>
      </c>
      <c r="O9" s="295">
        <v>44896</v>
      </c>
      <c r="P9" s="295" t="s">
        <v>66</v>
      </c>
    </row>
    <row r="10" spans="1:20" x14ac:dyDescent="0.25">
      <c r="B10" s="413" t="s">
        <v>67</v>
      </c>
      <c r="C10" s="413"/>
      <c r="D10" s="300">
        <v>20755649</v>
      </c>
      <c r="E10" s="300">
        <v>19565526</v>
      </c>
      <c r="F10" s="300">
        <v>22041332</v>
      </c>
      <c r="G10" s="300">
        <v>21619833</v>
      </c>
      <c r="H10" s="300">
        <v>22190267</v>
      </c>
      <c r="I10" s="300">
        <v>21233762</v>
      </c>
      <c r="J10" s="300">
        <v>21963586</v>
      </c>
      <c r="K10" s="300">
        <v>22744257</v>
      </c>
      <c r="L10" s="300">
        <v>21914620</v>
      </c>
      <c r="M10" s="300">
        <v>22506639</v>
      </c>
      <c r="N10" s="300">
        <v>20967154</v>
      </c>
      <c r="O10" s="300">
        <v>21808031</v>
      </c>
      <c r="P10" s="305">
        <f>SUM(D10:O10)</f>
        <v>259310656</v>
      </c>
    </row>
    <row r="11" spans="1:20" x14ac:dyDescent="0.25">
      <c r="B11" s="413" t="s">
        <v>68</v>
      </c>
      <c r="C11" s="413"/>
      <c r="D11" s="300">
        <v>11910050</v>
      </c>
      <c r="E11" s="300">
        <v>11295238</v>
      </c>
      <c r="F11" s="300">
        <v>11605460</v>
      </c>
      <c r="G11" s="300">
        <v>10477155</v>
      </c>
      <c r="H11" s="300">
        <v>10276447</v>
      </c>
      <c r="I11" s="300">
        <v>9658874</v>
      </c>
      <c r="J11" s="300">
        <v>9773056</v>
      </c>
      <c r="K11" s="300">
        <v>10314035</v>
      </c>
      <c r="L11" s="300">
        <v>10499703</v>
      </c>
      <c r="M11" s="300">
        <v>11093508</v>
      </c>
      <c r="N11" s="300">
        <v>11738850</v>
      </c>
      <c r="O11" s="300">
        <v>13106114</v>
      </c>
      <c r="P11" s="305">
        <f>SUM(D11:O11)</f>
        <v>131748490</v>
      </c>
    </row>
    <row r="12" spans="1:20" x14ac:dyDescent="0.25">
      <c r="B12" s="410" t="s">
        <v>69</v>
      </c>
      <c r="C12" s="410"/>
      <c r="D12" s="302">
        <f>SUM(D10:D11)</f>
        <v>32665699</v>
      </c>
      <c r="E12" s="302">
        <f t="shared" ref="E12:O12" si="0">SUM(E10:E11)</f>
        <v>30860764</v>
      </c>
      <c r="F12" s="302">
        <f t="shared" si="0"/>
        <v>33646792</v>
      </c>
      <c r="G12" s="302">
        <f t="shared" si="0"/>
        <v>32096988</v>
      </c>
      <c r="H12" s="302">
        <f t="shared" si="0"/>
        <v>32466714</v>
      </c>
      <c r="I12" s="302">
        <f t="shared" si="0"/>
        <v>30892636</v>
      </c>
      <c r="J12" s="302">
        <f t="shared" si="0"/>
        <v>31736642</v>
      </c>
      <c r="K12" s="302">
        <f t="shared" si="0"/>
        <v>33058292</v>
      </c>
      <c r="L12" s="302">
        <f t="shared" si="0"/>
        <v>32414323</v>
      </c>
      <c r="M12" s="302">
        <f t="shared" si="0"/>
        <v>33600147</v>
      </c>
      <c r="N12" s="302">
        <f t="shared" si="0"/>
        <v>32706004</v>
      </c>
      <c r="O12" s="302">
        <f t="shared" si="0"/>
        <v>34914145</v>
      </c>
      <c r="P12" s="302">
        <f>SUM(P10:P11)</f>
        <v>391059146</v>
      </c>
    </row>
    <row r="13" spans="1:20" x14ac:dyDescent="0.25">
      <c r="B13" s="106" t="s">
        <v>30</v>
      </c>
      <c r="C13" s="102"/>
      <c r="D13" s="208"/>
      <c r="E13" s="205"/>
      <c r="F13" s="208"/>
      <c r="G13" s="208"/>
      <c r="H13" s="208"/>
      <c r="I13" s="208"/>
      <c r="J13" s="208"/>
      <c r="K13" s="208"/>
      <c r="L13" s="208"/>
      <c r="M13" s="205"/>
      <c r="N13" s="205"/>
      <c r="O13" s="205"/>
      <c r="P13" s="206"/>
    </row>
    <row r="14" spans="1:20" ht="16.5" customHeight="1" x14ac:dyDescent="0.25">
      <c r="D14" s="205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5"/>
      <c r="P14" s="205"/>
      <c r="Q14" s="97"/>
    </row>
    <row r="15" spans="1:20" x14ac:dyDescent="0.25">
      <c r="B15" s="102"/>
      <c r="C15" s="102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</row>
    <row r="16" spans="1:20" ht="18" x14ac:dyDescent="0.25">
      <c r="B16" s="400" t="s">
        <v>70</v>
      </c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</row>
    <row r="17" spans="2:17" x14ac:dyDescent="0.25">
      <c r="B17" s="412" t="s">
        <v>71</v>
      </c>
      <c r="C17" s="412" t="s">
        <v>72</v>
      </c>
      <c r="D17" s="295">
        <v>44562</v>
      </c>
      <c r="E17" s="295">
        <v>44593</v>
      </c>
      <c r="F17" s="295">
        <v>44621</v>
      </c>
      <c r="G17" s="295">
        <v>44652</v>
      </c>
      <c r="H17" s="295">
        <v>44682</v>
      </c>
      <c r="I17" s="295">
        <v>44713</v>
      </c>
      <c r="J17" s="295">
        <v>44743</v>
      </c>
      <c r="K17" s="295">
        <v>44774</v>
      </c>
      <c r="L17" s="295">
        <v>44805</v>
      </c>
      <c r="M17" s="295">
        <v>44835</v>
      </c>
      <c r="N17" s="295">
        <v>44866</v>
      </c>
      <c r="O17" s="295">
        <v>44896</v>
      </c>
      <c r="P17" s="295" t="s">
        <v>69</v>
      </c>
    </row>
    <row r="18" spans="2:17" x14ac:dyDescent="0.25">
      <c r="B18" s="409" t="s">
        <v>73</v>
      </c>
      <c r="C18" s="296" t="s">
        <v>74</v>
      </c>
      <c r="D18" s="300">
        <v>1591971</v>
      </c>
      <c r="E18" s="300">
        <v>1756351</v>
      </c>
      <c r="F18" s="300">
        <v>1523885</v>
      </c>
      <c r="G18" s="300">
        <v>1570503</v>
      </c>
      <c r="H18" s="300">
        <v>1531945</v>
      </c>
      <c r="I18" s="300">
        <v>1614895</v>
      </c>
      <c r="J18" s="300">
        <v>1552857</v>
      </c>
      <c r="K18" s="300">
        <v>1523558</v>
      </c>
      <c r="L18" s="300">
        <v>1495859</v>
      </c>
      <c r="M18" s="300">
        <v>1485381</v>
      </c>
      <c r="N18" s="300">
        <v>1563627</v>
      </c>
      <c r="O18" s="300">
        <v>1590740</v>
      </c>
      <c r="P18" s="301">
        <f>SUM(D18:O18)</f>
        <v>18801572</v>
      </c>
    </row>
    <row r="19" spans="2:17" x14ac:dyDescent="0.25">
      <c r="B19" s="409"/>
      <c r="C19" s="296" t="s">
        <v>75</v>
      </c>
      <c r="D19" s="300">
        <v>4019144</v>
      </c>
      <c r="E19" s="300">
        <v>3987587</v>
      </c>
      <c r="F19" s="300">
        <v>4033048</v>
      </c>
      <c r="G19" s="300">
        <v>4010105</v>
      </c>
      <c r="H19" s="300">
        <v>4012686</v>
      </c>
      <c r="I19" s="300">
        <v>3960555</v>
      </c>
      <c r="J19" s="300">
        <v>4025036</v>
      </c>
      <c r="K19" s="300">
        <v>4011584</v>
      </c>
      <c r="L19" s="300">
        <v>4010240</v>
      </c>
      <c r="M19" s="300">
        <v>4014822</v>
      </c>
      <c r="N19" s="300">
        <v>4029572</v>
      </c>
      <c r="O19" s="300">
        <v>4015940</v>
      </c>
      <c r="P19" s="301">
        <f t="shared" ref="P19:P23" si="1">SUM(D19:O19)</f>
        <v>48130319</v>
      </c>
    </row>
    <row r="20" spans="2:17" x14ac:dyDescent="0.25">
      <c r="B20" s="409"/>
      <c r="C20" s="296" t="s">
        <v>76</v>
      </c>
      <c r="D20" s="300">
        <v>2809315</v>
      </c>
      <c r="E20" s="300">
        <v>2469924</v>
      </c>
      <c r="F20" s="300">
        <v>2962216</v>
      </c>
      <c r="G20" s="300">
        <v>2920851</v>
      </c>
      <c r="H20" s="300">
        <v>2976399</v>
      </c>
      <c r="I20" s="300">
        <v>2781590</v>
      </c>
      <c r="J20" s="300">
        <v>2909152</v>
      </c>
      <c r="K20" s="300">
        <v>2955676</v>
      </c>
      <c r="L20" s="300">
        <v>3030365</v>
      </c>
      <c r="M20" s="300">
        <v>3108701</v>
      </c>
      <c r="N20" s="300">
        <v>2927913</v>
      </c>
      <c r="O20" s="300">
        <v>2860213</v>
      </c>
      <c r="P20" s="301">
        <f t="shared" si="1"/>
        <v>34712315</v>
      </c>
      <c r="Q20" s="104"/>
    </row>
    <row r="21" spans="2:17" x14ac:dyDescent="0.25">
      <c r="B21" s="409"/>
      <c r="C21" s="296" t="s">
        <v>77</v>
      </c>
      <c r="D21" s="300">
        <v>1303959</v>
      </c>
      <c r="E21" s="300">
        <v>1060386</v>
      </c>
      <c r="F21" s="300">
        <v>1420003</v>
      </c>
      <c r="G21" s="300">
        <v>1352786</v>
      </c>
      <c r="H21" s="300">
        <v>1470177</v>
      </c>
      <c r="I21" s="300">
        <v>1354700</v>
      </c>
      <c r="J21" s="300">
        <v>1433373</v>
      </c>
      <c r="K21" s="300">
        <v>1507907</v>
      </c>
      <c r="L21" s="300">
        <v>1573215</v>
      </c>
      <c r="M21" s="300">
        <v>1573890</v>
      </c>
      <c r="N21" s="300">
        <v>1383447</v>
      </c>
      <c r="O21" s="300">
        <v>1305799</v>
      </c>
      <c r="P21" s="301">
        <f t="shared" si="1"/>
        <v>16739642</v>
      </c>
    </row>
    <row r="22" spans="2:17" x14ac:dyDescent="0.25">
      <c r="B22" s="409"/>
      <c r="C22" s="296" t="s">
        <v>78</v>
      </c>
      <c r="D22" s="300">
        <v>485666</v>
      </c>
      <c r="E22" s="300">
        <v>377720</v>
      </c>
      <c r="F22" s="300">
        <v>538675</v>
      </c>
      <c r="G22" s="300">
        <v>543819</v>
      </c>
      <c r="H22" s="300">
        <v>588255</v>
      </c>
      <c r="I22" s="300">
        <v>585248</v>
      </c>
      <c r="J22" s="300">
        <v>619132</v>
      </c>
      <c r="K22" s="300">
        <v>665957</v>
      </c>
      <c r="L22" s="300">
        <v>710813</v>
      </c>
      <c r="M22" s="300">
        <v>638409</v>
      </c>
      <c r="N22" s="300">
        <v>508509</v>
      </c>
      <c r="O22" s="300">
        <v>477570</v>
      </c>
      <c r="P22" s="301">
        <f t="shared" si="1"/>
        <v>6739773</v>
      </c>
    </row>
    <row r="23" spans="2:17" x14ac:dyDescent="0.25">
      <c r="B23" s="409"/>
      <c r="C23" s="296" t="s">
        <v>79</v>
      </c>
      <c r="D23" s="300">
        <v>389063</v>
      </c>
      <c r="E23" s="300">
        <v>453831</v>
      </c>
      <c r="F23" s="300">
        <v>462530</v>
      </c>
      <c r="G23" s="300">
        <v>474850</v>
      </c>
      <c r="H23" s="300">
        <v>560140</v>
      </c>
      <c r="I23" s="300">
        <v>582151</v>
      </c>
      <c r="J23" s="300">
        <v>587522</v>
      </c>
      <c r="K23" s="300">
        <v>686118</v>
      </c>
      <c r="L23" s="300">
        <v>733391</v>
      </c>
      <c r="M23" s="300">
        <v>570194</v>
      </c>
      <c r="N23" s="300">
        <v>461604</v>
      </c>
      <c r="O23" s="300">
        <v>536037</v>
      </c>
      <c r="P23" s="301">
        <f t="shared" si="1"/>
        <v>6497431</v>
      </c>
    </row>
    <row r="24" spans="2:17" x14ac:dyDescent="0.25">
      <c r="B24" s="410" t="s">
        <v>80</v>
      </c>
      <c r="C24" s="410"/>
      <c r="D24" s="302">
        <f xml:space="preserve"> SUM(D18:D23)</f>
        <v>10599118</v>
      </c>
      <c r="E24" s="302">
        <f t="shared" ref="E24:O24" si="2" xml:space="preserve"> SUM(E18:E23)</f>
        <v>10105799</v>
      </c>
      <c r="F24" s="302">
        <f t="shared" si="2"/>
        <v>10940357</v>
      </c>
      <c r="G24" s="302">
        <f t="shared" si="2"/>
        <v>10872914</v>
      </c>
      <c r="H24" s="302">
        <f t="shared" si="2"/>
        <v>11139602</v>
      </c>
      <c r="I24" s="302">
        <f t="shared" si="2"/>
        <v>10879139</v>
      </c>
      <c r="J24" s="302">
        <f t="shared" si="2"/>
        <v>11127072</v>
      </c>
      <c r="K24" s="302">
        <f t="shared" si="2"/>
        <v>11350800</v>
      </c>
      <c r="L24" s="302">
        <f t="shared" si="2"/>
        <v>11553883</v>
      </c>
      <c r="M24" s="302">
        <f t="shared" si="2"/>
        <v>11391397</v>
      </c>
      <c r="N24" s="302">
        <f t="shared" si="2"/>
        <v>10874672</v>
      </c>
      <c r="O24" s="302">
        <f t="shared" si="2"/>
        <v>10786299</v>
      </c>
      <c r="P24" s="298">
        <f>SUM(D24:O24)</f>
        <v>131621052</v>
      </c>
    </row>
    <row r="25" spans="2:17" x14ac:dyDescent="0.25">
      <c r="B25" s="409" t="s">
        <v>81</v>
      </c>
      <c r="C25" s="296" t="s">
        <v>74</v>
      </c>
      <c r="D25" s="300">
        <v>36500</v>
      </c>
      <c r="E25" s="300">
        <v>40747</v>
      </c>
      <c r="F25" s="300">
        <v>40932</v>
      </c>
      <c r="G25" s="300">
        <v>44524</v>
      </c>
      <c r="H25" s="300">
        <v>43767</v>
      </c>
      <c r="I25" s="300">
        <v>47103</v>
      </c>
      <c r="J25" s="300">
        <v>46985</v>
      </c>
      <c r="K25" s="300">
        <v>44760</v>
      </c>
      <c r="L25" s="300">
        <v>46615</v>
      </c>
      <c r="M25" s="300">
        <v>46808</v>
      </c>
      <c r="N25" s="300">
        <v>52069</v>
      </c>
      <c r="O25" s="300">
        <v>57459</v>
      </c>
      <c r="P25" s="301">
        <f>SUM(D25:O25)</f>
        <v>548269</v>
      </c>
    </row>
    <row r="26" spans="2:17" x14ac:dyDescent="0.25">
      <c r="B26" s="409"/>
      <c r="C26" s="296" t="s">
        <v>75</v>
      </c>
      <c r="D26" s="300">
        <v>89227</v>
      </c>
      <c r="E26" s="300">
        <v>88718</v>
      </c>
      <c r="F26" s="300">
        <v>107967</v>
      </c>
      <c r="G26" s="300">
        <v>113526</v>
      </c>
      <c r="H26" s="300">
        <v>117913</v>
      </c>
      <c r="I26" s="300">
        <v>111440</v>
      </c>
      <c r="J26" s="300">
        <v>113967</v>
      </c>
      <c r="K26" s="300">
        <v>124474</v>
      </c>
      <c r="L26" s="300">
        <v>124048</v>
      </c>
      <c r="M26" s="300">
        <v>138508</v>
      </c>
      <c r="N26" s="300">
        <v>138011</v>
      </c>
      <c r="O26" s="300">
        <v>143273</v>
      </c>
      <c r="P26" s="301">
        <f t="shared" ref="P26:P29" si="3">SUM(D26:O26)</f>
        <v>1411072</v>
      </c>
    </row>
    <row r="27" spans="2:17" x14ac:dyDescent="0.25">
      <c r="B27" s="409"/>
      <c r="C27" s="296" t="s">
        <v>76</v>
      </c>
      <c r="D27" s="300">
        <v>71507</v>
      </c>
      <c r="E27" s="300">
        <v>64798</v>
      </c>
      <c r="F27" s="300">
        <v>94869</v>
      </c>
      <c r="G27" s="300">
        <v>90115</v>
      </c>
      <c r="H27" s="300">
        <v>89845</v>
      </c>
      <c r="I27" s="300">
        <v>88995</v>
      </c>
      <c r="J27" s="300">
        <v>93070</v>
      </c>
      <c r="K27" s="300">
        <v>100214</v>
      </c>
      <c r="L27" s="300">
        <v>104875</v>
      </c>
      <c r="M27" s="300">
        <v>115263</v>
      </c>
      <c r="N27" s="300">
        <v>109031</v>
      </c>
      <c r="O27" s="300">
        <v>112473</v>
      </c>
      <c r="P27" s="301">
        <f t="shared" si="3"/>
        <v>1135055</v>
      </c>
    </row>
    <row r="28" spans="2:17" x14ac:dyDescent="0.25">
      <c r="B28" s="409"/>
      <c r="C28" s="296" t="s">
        <v>77</v>
      </c>
      <c r="D28" s="300">
        <v>35548</v>
      </c>
      <c r="E28" s="300">
        <v>27571</v>
      </c>
      <c r="F28" s="300">
        <v>46286</v>
      </c>
      <c r="G28" s="300">
        <v>45507</v>
      </c>
      <c r="H28" s="300">
        <v>43986</v>
      </c>
      <c r="I28" s="300">
        <v>41189</v>
      </c>
      <c r="J28" s="300">
        <v>43729</v>
      </c>
      <c r="K28" s="300">
        <v>49123</v>
      </c>
      <c r="L28" s="300">
        <v>53224</v>
      </c>
      <c r="M28" s="300">
        <v>59811</v>
      </c>
      <c r="N28" s="300">
        <v>55514</v>
      </c>
      <c r="O28" s="300">
        <v>54188</v>
      </c>
      <c r="P28" s="301">
        <f t="shared" si="3"/>
        <v>555676</v>
      </c>
    </row>
    <row r="29" spans="2:17" x14ac:dyDescent="0.25">
      <c r="B29" s="409"/>
      <c r="C29" s="296" t="s">
        <v>78</v>
      </c>
      <c r="D29" s="300">
        <v>10962</v>
      </c>
      <c r="E29" s="300">
        <v>8101</v>
      </c>
      <c r="F29" s="300">
        <v>14087</v>
      </c>
      <c r="G29" s="300">
        <v>12967</v>
      </c>
      <c r="H29" s="300">
        <v>14145</v>
      </c>
      <c r="I29" s="300">
        <v>11236</v>
      </c>
      <c r="J29" s="300">
        <v>13656</v>
      </c>
      <c r="K29" s="300">
        <v>15557</v>
      </c>
      <c r="L29" s="300">
        <v>16028</v>
      </c>
      <c r="M29" s="300">
        <v>20411</v>
      </c>
      <c r="N29" s="300">
        <v>18088</v>
      </c>
      <c r="O29" s="300">
        <v>17338</v>
      </c>
      <c r="P29" s="301">
        <f t="shared" si="3"/>
        <v>172576</v>
      </c>
    </row>
    <row r="30" spans="2:17" x14ac:dyDescent="0.25">
      <c r="B30" s="409"/>
      <c r="C30" s="296" t="s">
        <v>79</v>
      </c>
      <c r="D30" s="300">
        <v>9807</v>
      </c>
      <c r="E30" s="300">
        <v>8221</v>
      </c>
      <c r="F30" s="300">
        <v>11240</v>
      </c>
      <c r="G30" s="300">
        <v>9472</v>
      </c>
      <c r="H30" s="300">
        <v>9676</v>
      </c>
      <c r="I30" s="300">
        <v>9707</v>
      </c>
      <c r="J30" s="300">
        <v>10114</v>
      </c>
      <c r="K30" s="300">
        <v>12514</v>
      </c>
      <c r="L30" s="300">
        <v>8439</v>
      </c>
      <c r="M30" s="300">
        <v>13081</v>
      </c>
      <c r="N30" s="300">
        <v>11329</v>
      </c>
      <c r="O30" s="300">
        <v>12609</v>
      </c>
      <c r="P30" s="301">
        <f>SUM(D30:O30)</f>
        <v>126209</v>
      </c>
    </row>
    <row r="31" spans="2:17" ht="14.25" customHeight="1" x14ac:dyDescent="0.25">
      <c r="B31" s="410" t="s">
        <v>80</v>
      </c>
      <c r="C31" s="410"/>
      <c r="D31" s="302">
        <f t="shared" ref="D31" si="4">SUM(D25:D30)</f>
        <v>253551</v>
      </c>
      <c r="E31" s="302">
        <f t="shared" ref="E31:O31" si="5">SUM(E25:E30)</f>
        <v>238156</v>
      </c>
      <c r="F31" s="302">
        <f t="shared" si="5"/>
        <v>315381</v>
      </c>
      <c r="G31" s="302">
        <f t="shared" si="5"/>
        <v>316111</v>
      </c>
      <c r="H31" s="302">
        <f t="shared" si="5"/>
        <v>319332</v>
      </c>
      <c r="I31" s="302">
        <f t="shared" si="5"/>
        <v>309670</v>
      </c>
      <c r="J31" s="302">
        <f t="shared" si="5"/>
        <v>321521</v>
      </c>
      <c r="K31" s="302">
        <f t="shared" si="5"/>
        <v>346642</v>
      </c>
      <c r="L31" s="302">
        <f t="shared" si="5"/>
        <v>353229</v>
      </c>
      <c r="M31" s="302">
        <f t="shared" si="5"/>
        <v>393882</v>
      </c>
      <c r="N31" s="302">
        <f t="shared" si="5"/>
        <v>384042</v>
      </c>
      <c r="O31" s="302">
        <f t="shared" si="5"/>
        <v>397340</v>
      </c>
      <c r="P31" s="298">
        <f>SUM(D31:O31)</f>
        <v>3948857</v>
      </c>
    </row>
    <row r="32" spans="2:17" x14ac:dyDescent="0.25">
      <c r="B32" s="411" t="s">
        <v>48</v>
      </c>
      <c r="C32" s="296" t="s">
        <v>82</v>
      </c>
      <c r="D32" s="300">
        <v>41731</v>
      </c>
      <c r="E32" s="300">
        <v>42963</v>
      </c>
      <c r="F32" s="300">
        <v>41849</v>
      </c>
      <c r="G32" s="300">
        <v>41416</v>
      </c>
      <c r="H32" s="300">
        <v>41589</v>
      </c>
      <c r="I32" s="300">
        <v>42063</v>
      </c>
      <c r="J32" s="300">
        <v>41287</v>
      </c>
      <c r="K32" s="300">
        <v>40805</v>
      </c>
      <c r="L32" s="300">
        <v>40206</v>
      </c>
      <c r="M32" s="300">
        <v>40833</v>
      </c>
      <c r="N32" s="300">
        <v>42005</v>
      </c>
      <c r="O32" s="300">
        <v>41866</v>
      </c>
      <c r="P32" s="303">
        <f>SUM(D32:O32)</f>
        <v>498613</v>
      </c>
    </row>
    <row r="33" spans="2:20" x14ac:dyDescent="0.25">
      <c r="B33" s="411"/>
      <c r="C33" s="296" t="s">
        <v>83</v>
      </c>
      <c r="D33" s="300">
        <v>46189</v>
      </c>
      <c r="E33" s="300">
        <v>46074</v>
      </c>
      <c r="F33" s="300">
        <v>45678</v>
      </c>
      <c r="G33" s="300">
        <v>46753</v>
      </c>
      <c r="H33" s="300">
        <v>46030</v>
      </c>
      <c r="I33" s="300">
        <v>47369</v>
      </c>
      <c r="J33" s="300">
        <v>46426</v>
      </c>
      <c r="K33" s="300">
        <v>46881</v>
      </c>
      <c r="L33" s="300">
        <v>47205</v>
      </c>
      <c r="M33" s="300">
        <v>46302</v>
      </c>
      <c r="N33" s="300">
        <v>46542</v>
      </c>
      <c r="O33" s="300">
        <v>46840</v>
      </c>
      <c r="P33" s="303">
        <f t="shared" ref="P33:P36" si="6">SUM(D33:O33)</f>
        <v>558289</v>
      </c>
      <c r="T33" s="232"/>
    </row>
    <row r="34" spans="2:20" x14ac:dyDescent="0.25">
      <c r="B34" s="411"/>
      <c r="C34" s="296" t="s">
        <v>84</v>
      </c>
      <c r="D34" s="300">
        <v>48177</v>
      </c>
      <c r="E34" s="300">
        <v>48396</v>
      </c>
      <c r="F34" s="300">
        <v>49717</v>
      </c>
      <c r="G34" s="300">
        <v>48673</v>
      </c>
      <c r="H34" s="300">
        <v>48582</v>
      </c>
      <c r="I34" s="300">
        <v>48027</v>
      </c>
      <c r="J34" s="300">
        <v>48746</v>
      </c>
      <c r="K34" s="300">
        <v>48651</v>
      </c>
      <c r="L34" s="300">
        <v>47951</v>
      </c>
      <c r="M34" s="300">
        <v>48900</v>
      </c>
      <c r="N34" s="300">
        <v>47688</v>
      </c>
      <c r="O34" s="300">
        <v>46303</v>
      </c>
      <c r="P34" s="303">
        <f t="shared" si="6"/>
        <v>579811</v>
      </c>
    </row>
    <row r="35" spans="2:20" x14ac:dyDescent="0.25">
      <c r="B35" s="411"/>
      <c r="C35" s="296" t="s">
        <v>85</v>
      </c>
      <c r="D35" s="300">
        <v>236909</v>
      </c>
      <c r="E35" s="300">
        <v>230535</v>
      </c>
      <c r="F35" s="300">
        <v>244457</v>
      </c>
      <c r="G35" s="300">
        <v>247573</v>
      </c>
      <c r="H35" s="300">
        <v>250278</v>
      </c>
      <c r="I35" s="300">
        <v>247709</v>
      </c>
      <c r="J35" s="300">
        <v>254896</v>
      </c>
      <c r="K35" s="300">
        <v>261885</v>
      </c>
      <c r="L35" s="300">
        <v>263859</v>
      </c>
      <c r="M35" s="300">
        <v>267272</v>
      </c>
      <c r="N35" s="300">
        <v>250873</v>
      </c>
      <c r="O35" s="300">
        <v>251184</v>
      </c>
      <c r="P35" s="303">
        <f t="shared" si="6"/>
        <v>3007430</v>
      </c>
    </row>
    <row r="36" spans="2:20" x14ac:dyDescent="0.25">
      <c r="B36" s="411"/>
      <c r="C36" s="296" t="s">
        <v>86</v>
      </c>
      <c r="D36" s="300">
        <v>665560</v>
      </c>
      <c r="E36" s="300">
        <v>641196</v>
      </c>
      <c r="F36" s="300">
        <v>714099</v>
      </c>
      <c r="G36" s="300">
        <v>745276</v>
      </c>
      <c r="H36" s="300">
        <v>810703</v>
      </c>
      <c r="I36" s="300">
        <v>805064</v>
      </c>
      <c r="J36" s="300">
        <v>812325</v>
      </c>
      <c r="K36" s="300">
        <v>858324</v>
      </c>
      <c r="L36" s="300">
        <v>869715</v>
      </c>
      <c r="M36" s="300">
        <v>835044</v>
      </c>
      <c r="N36" s="300">
        <v>798313</v>
      </c>
      <c r="O36" s="300">
        <v>783468</v>
      </c>
      <c r="P36" s="303">
        <f t="shared" si="6"/>
        <v>9339087</v>
      </c>
    </row>
    <row r="37" spans="2:20" x14ac:dyDescent="0.25">
      <c r="B37" s="408" t="s">
        <v>80</v>
      </c>
      <c r="C37" s="408"/>
      <c r="D37" s="298">
        <f>SUM(D32:D36)</f>
        <v>1038566</v>
      </c>
      <c r="E37" s="298">
        <f t="shared" ref="E37:O37" si="7">SUM(E32:E36)</f>
        <v>1009164</v>
      </c>
      <c r="F37" s="298">
        <f t="shared" si="7"/>
        <v>1095800</v>
      </c>
      <c r="G37" s="298">
        <f t="shared" si="7"/>
        <v>1129691</v>
      </c>
      <c r="H37" s="298">
        <f t="shared" si="7"/>
        <v>1197182</v>
      </c>
      <c r="I37" s="298">
        <f t="shared" si="7"/>
        <v>1190232</v>
      </c>
      <c r="J37" s="298">
        <f t="shared" si="7"/>
        <v>1203680</v>
      </c>
      <c r="K37" s="298">
        <f t="shared" si="7"/>
        <v>1256546</v>
      </c>
      <c r="L37" s="298">
        <f t="shared" si="7"/>
        <v>1268936</v>
      </c>
      <c r="M37" s="298">
        <f t="shared" si="7"/>
        <v>1238351</v>
      </c>
      <c r="N37" s="298">
        <f t="shared" si="7"/>
        <v>1185421</v>
      </c>
      <c r="O37" s="298">
        <f t="shared" si="7"/>
        <v>1169661</v>
      </c>
      <c r="P37" s="298">
        <f>SUM(D37:O37)</f>
        <v>13983230</v>
      </c>
    </row>
    <row r="38" spans="2:20" x14ac:dyDescent="0.25">
      <c r="B38" s="411" t="s">
        <v>49</v>
      </c>
      <c r="C38" s="296" t="s">
        <v>82</v>
      </c>
      <c r="D38" s="300">
        <v>375</v>
      </c>
      <c r="E38" s="300">
        <v>377</v>
      </c>
      <c r="F38" s="300">
        <v>375</v>
      </c>
      <c r="G38" s="300">
        <v>345</v>
      </c>
      <c r="H38" s="300">
        <v>370</v>
      </c>
      <c r="I38" s="300">
        <v>391</v>
      </c>
      <c r="J38" s="300">
        <v>360</v>
      </c>
      <c r="K38" s="300">
        <v>356</v>
      </c>
      <c r="L38" s="300">
        <v>361</v>
      </c>
      <c r="M38" s="300">
        <v>345</v>
      </c>
      <c r="N38" s="300">
        <v>392</v>
      </c>
      <c r="O38" s="300">
        <v>417</v>
      </c>
      <c r="P38" s="303">
        <f>SUM(D38:O38)</f>
        <v>4464</v>
      </c>
    </row>
    <row r="39" spans="2:20" x14ac:dyDescent="0.25">
      <c r="B39" s="411"/>
      <c r="C39" s="296" t="s">
        <v>83</v>
      </c>
      <c r="D39" s="300">
        <v>557</v>
      </c>
      <c r="E39" s="300">
        <v>627</v>
      </c>
      <c r="F39" s="300">
        <v>535</v>
      </c>
      <c r="G39" s="300">
        <v>612</v>
      </c>
      <c r="H39" s="300">
        <v>573</v>
      </c>
      <c r="I39" s="300">
        <v>552</v>
      </c>
      <c r="J39" s="300">
        <v>558</v>
      </c>
      <c r="K39" s="300">
        <v>563</v>
      </c>
      <c r="L39" s="300">
        <v>482</v>
      </c>
      <c r="M39" s="300">
        <v>525</v>
      </c>
      <c r="N39" s="300">
        <v>615</v>
      </c>
      <c r="O39" s="300">
        <v>592</v>
      </c>
      <c r="P39" s="303">
        <f t="shared" ref="P39:P42" si="8">SUM(D39:O39)</f>
        <v>6791</v>
      </c>
    </row>
    <row r="40" spans="2:20" x14ac:dyDescent="0.25">
      <c r="B40" s="411"/>
      <c r="C40" s="296" t="s">
        <v>84</v>
      </c>
      <c r="D40" s="300">
        <v>787</v>
      </c>
      <c r="E40" s="300">
        <v>905</v>
      </c>
      <c r="F40" s="300">
        <v>789</v>
      </c>
      <c r="G40" s="300">
        <v>859</v>
      </c>
      <c r="H40" s="300">
        <v>714</v>
      </c>
      <c r="I40" s="300">
        <v>760</v>
      </c>
      <c r="J40" s="300">
        <v>666</v>
      </c>
      <c r="K40" s="300">
        <v>621</v>
      </c>
      <c r="L40" s="300">
        <v>707</v>
      </c>
      <c r="M40" s="300">
        <v>792</v>
      </c>
      <c r="N40" s="300">
        <v>747</v>
      </c>
      <c r="O40" s="300">
        <v>761</v>
      </c>
      <c r="P40" s="303">
        <f t="shared" si="8"/>
        <v>9108</v>
      </c>
    </row>
    <row r="41" spans="2:20" x14ac:dyDescent="0.25">
      <c r="B41" s="411"/>
      <c r="C41" s="296" t="s">
        <v>85</v>
      </c>
      <c r="D41" s="300">
        <v>7194</v>
      </c>
      <c r="E41" s="300">
        <v>6300</v>
      </c>
      <c r="F41" s="300">
        <v>6821</v>
      </c>
      <c r="G41" s="300">
        <v>6802</v>
      </c>
      <c r="H41" s="300">
        <v>6692</v>
      </c>
      <c r="I41" s="300">
        <v>6662</v>
      </c>
      <c r="J41" s="300">
        <v>7000</v>
      </c>
      <c r="K41" s="300">
        <v>7227</v>
      </c>
      <c r="L41" s="300">
        <v>7695</v>
      </c>
      <c r="M41" s="300">
        <v>7279</v>
      </c>
      <c r="N41" s="300">
        <v>7484</v>
      </c>
      <c r="O41" s="300">
        <v>7170</v>
      </c>
      <c r="P41" s="303">
        <f t="shared" si="8"/>
        <v>84326</v>
      </c>
    </row>
    <row r="42" spans="2:20" x14ac:dyDescent="0.25">
      <c r="B42" s="411"/>
      <c r="C42" s="296" t="s">
        <v>86</v>
      </c>
      <c r="D42" s="300">
        <v>37074</v>
      </c>
      <c r="E42" s="300">
        <v>33531</v>
      </c>
      <c r="F42" s="300">
        <v>36245</v>
      </c>
      <c r="G42" s="300">
        <v>39487</v>
      </c>
      <c r="H42" s="300">
        <v>42192</v>
      </c>
      <c r="I42" s="300">
        <v>40748</v>
      </c>
      <c r="J42" s="300">
        <v>44034</v>
      </c>
      <c r="K42" s="300">
        <v>48327</v>
      </c>
      <c r="L42" s="300">
        <v>49449</v>
      </c>
      <c r="M42" s="300">
        <v>50823</v>
      </c>
      <c r="N42" s="300">
        <v>44524</v>
      </c>
      <c r="O42" s="300">
        <v>41496</v>
      </c>
      <c r="P42" s="303">
        <f t="shared" si="8"/>
        <v>507930</v>
      </c>
    </row>
    <row r="43" spans="2:20" x14ac:dyDescent="0.25">
      <c r="B43" s="408" t="s">
        <v>80</v>
      </c>
      <c r="C43" s="408"/>
      <c r="D43" s="298">
        <f>SUM(D38:D42)</f>
        <v>45987</v>
      </c>
      <c r="E43" s="298">
        <f t="shared" ref="E43:O43" si="9">SUM(E38:E42)</f>
        <v>41740</v>
      </c>
      <c r="F43" s="298">
        <f t="shared" si="9"/>
        <v>44765</v>
      </c>
      <c r="G43" s="298">
        <f t="shared" si="9"/>
        <v>48105</v>
      </c>
      <c r="H43" s="298">
        <f t="shared" si="9"/>
        <v>50541</v>
      </c>
      <c r="I43" s="298">
        <f t="shared" si="9"/>
        <v>49113</v>
      </c>
      <c r="J43" s="298">
        <f t="shared" si="9"/>
        <v>52618</v>
      </c>
      <c r="K43" s="298">
        <f t="shared" si="9"/>
        <v>57094</v>
      </c>
      <c r="L43" s="298">
        <f t="shared" si="9"/>
        <v>58694</v>
      </c>
      <c r="M43" s="298">
        <f t="shared" si="9"/>
        <v>59764</v>
      </c>
      <c r="N43" s="298">
        <f t="shared" si="9"/>
        <v>53762</v>
      </c>
      <c r="O43" s="298">
        <f t="shared" si="9"/>
        <v>50436</v>
      </c>
      <c r="P43" s="298">
        <f t="shared" ref="P43:P52" si="10">SUM(D43:O43)</f>
        <v>612619</v>
      </c>
    </row>
    <row r="44" spans="2:20" x14ac:dyDescent="0.25">
      <c r="B44" s="411" t="s">
        <v>87</v>
      </c>
      <c r="C44" s="296" t="s">
        <v>82</v>
      </c>
      <c r="D44" s="300">
        <v>505</v>
      </c>
      <c r="E44" s="300">
        <v>564</v>
      </c>
      <c r="F44" s="300">
        <v>511</v>
      </c>
      <c r="G44" s="300">
        <v>514</v>
      </c>
      <c r="H44" s="300">
        <v>467</v>
      </c>
      <c r="I44" s="300">
        <v>447</v>
      </c>
      <c r="J44" s="300">
        <v>430</v>
      </c>
      <c r="K44" s="300">
        <v>472</v>
      </c>
      <c r="L44" s="300">
        <v>438</v>
      </c>
      <c r="M44" s="300">
        <v>451</v>
      </c>
      <c r="N44" s="300">
        <v>435</v>
      </c>
      <c r="O44" s="300">
        <v>440</v>
      </c>
      <c r="P44" s="303">
        <f t="shared" si="10"/>
        <v>5674</v>
      </c>
    </row>
    <row r="45" spans="2:20" x14ac:dyDescent="0.25">
      <c r="B45" s="411"/>
      <c r="C45" s="296" t="s">
        <v>83</v>
      </c>
      <c r="D45" s="300">
        <v>733</v>
      </c>
      <c r="E45" s="300">
        <v>814</v>
      </c>
      <c r="F45" s="300">
        <v>863</v>
      </c>
      <c r="G45" s="300">
        <v>734</v>
      </c>
      <c r="H45" s="300">
        <v>630</v>
      </c>
      <c r="I45" s="300">
        <v>678</v>
      </c>
      <c r="J45" s="300">
        <v>590</v>
      </c>
      <c r="K45" s="300">
        <v>581</v>
      </c>
      <c r="L45" s="300">
        <v>541</v>
      </c>
      <c r="M45" s="300">
        <v>516</v>
      </c>
      <c r="N45" s="300">
        <v>525</v>
      </c>
      <c r="O45" s="300">
        <v>798</v>
      </c>
      <c r="P45" s="303">
        <f t="shared" si="10"/>
        <v>8003</v>
      </c>
    </row>
    <row r="46" spans="2:20" x14ac:dyDescent="0.25">
      <c r="B46" s="411"/>
      <c r="C46" s="296" t="s">
        <v>84</v>
      </c>
      <c r="D46" s="300">
        <v>1150</v>
      </c>
      <c r="E46" s="300">
        <v>1171</v>
      </c>
      <c r="F46" s="300">
        <v>1026</v>
      </c>
      <c r="G46" s="300">
        <v>842</v>
      </c>
      <c r="H46" s="300">
        <v>1010</v>
      </c>
      <c r="I46" s="300">
        <v>907</v>
      </c>
      <c r="J46" s="300">
        <v>949</v>
      </c>
      <c r="K46" s="300">
        <v>792</v>
      </c>
      <c r="L46" s="300">
        <v>735</v>
      </c>
      <c r="M46" s="300">
        <v>867</v>
      </c>
      <c r="N46" s="300">
        <v>939</v>
      </c>
      <c r="O46" s="300">
        <v>926</v>
      </c>
      <c r="P46" s="303">
        <f t="shared" si="10"/>
        <v>11314</v>
      </c>
    </row>
    <row r="47" spans="2:20" x14ac:dyDescent="0.25">
      <c r="B47" s="411"/>
      <c r="C47" s="296" t="s">
        <v>85</v>
      </c>
      <c r="D47" s="300">
        <v>13719</v>
      </c>
      <c r="E47" s="300">
        <v>17102</v>
      </c>
      <c r="F47" s="300">
        <v>13436</v>
      </c>
      <c r="G47" s="300">
        <v>13559</v>
      </c>
      <c r="H47" s="300">
        <v>13166</v>
      </c>
      <c r="I47" s="300">
        <v>12284</v>
      </c>
      <c r="J47" s="300">
        <v>12735</v>
      </c>
      <c r="K47" s="300">
        <v>12770</v>
      </c>
      <c r="L47" s="300">
        <v>11881</v>
      </c>
      <c r="M47" s="300">
        <v>11927</v>
      </c>
      <c r="N47" s="300">
        <v>13045</v>
      </c>
      <c r="O47" s="300">
        <v>13533</v>
      </c>
      <c r="P47" s="303">
        <f t="shared" si="10"/>
        <v>159157</v>
      </c>
    </row>
    <row r="48" spans="2:20" x14ac:dyDescent="0.25">
      <c r="B48" s="411"/>
      <c r="C48" s="296" t="s">
        <v>86</v>
      </c>
      <c r="D48" s="300">
        <v>697378</v>
      </c>
      <c r="E48" s="300">
        <v>631888</v>
      </c>
      <c r="F48" s="300">
        <v>660941</v>
      </c>
      <c r="G48" s="300">
        <v>772311</v>
      </c>
      <c r="H48" s="300">
        <v>794176</v>
      </c>
      <c r="I48" s="300">
        <v>801767</v>
      </c>
      <c r="J48" s="300">
        <v>789453</v>
      </c>
      <c r="K48" s="300">
        <v>819012</v>
      </c>
      <c r="L48" s="300">
        <v>882454</v>
      </c>
      <c r="M48" s="300">
        <v>876061</v>
      </c>
      <c r="N48" s="300">
        <v>829768</v>
      </c>
      <c r="O48" s="300">
        <v>754188</v>
      </c>
      <c r="P48" s="303">
        <f t="shared" si="10"/>
        <v>9309397</v>
      </c>
    </row>
    <row r="49" spans="2:16" x14ac:dyDescent="0.25">
      <c r="B49" s="408" t="s">
        <v>80</v>
      </c>
      <c r="C49" s="408"/>
      <c r="D49" s="298">
        <f>SUM(D44:D48)</f>
        <v>713485</v>
      </c>
      <c r="E49" s="298">
        <f t="shared" ref="E49:O49" si="11">SUM(E44:E48)</f>
        <v>651539</v>
      </c>
      <c r="F49" s="298">
        <f t="shared" si="11"/>
        <v>676777</v>
      </c>
      <c r="G49" s="298">
        <f t="shared" si="11"/>
        <v>787960</v>
      </c>
      <c r="H49" s="298">
        <f t="shared" si="11"/>
        <v>809449</v>
      </c>
      <c r="I49" s="298">
        <f t="shared" si="11"/>
        <v>816083</v>
      </c>
      <c r="J49" s="298">
        <f t="shared" si="11"/>
        <v>804157</v>
      </c>
      <c r="K49" s="298">
        <f t="shared" si="11"/>
        <v>833627</v>
      </c>
      <c r="L49" s="298">
        <f t="shared" si="11"/>
        <v>896049</v>
      </c>
      <c r="M49" s="298">
        <f t="shared" si="11"/>
        <v>889822</v>
      </c>
      <c r="N49" s="298">
        <f t="shared" si="11"/>
        <v>844712</v>
      </c>
      <c r="O49" s="298">
        <f t="shared" si="11"/>
        <v>769885</v>
      </c>
      <c r="P49" s="298">
        <f t="shared" si="10"/>
        <v>9493545</v>
      </c>
    </row>
    <row r="50" spans="2:16" x14ac:dyDescent="0.25">
      <c r="B50" s="408" t="s">
        <v>88</v>
      </c>
      <c r="C50" s="408"/>
      <c r="D50" s="298">
        <f t="shared" ref="D50" si="12">(D24+D31+D37+D43+D49)</f>
        <v>12650707</v>
      </c>
      <c r="E50" s="298">
        <f t="shared" ref="E50:O50" si="13">(E24+E31+E37+E43+E49)</f>
        <v>12046398</v>
      </c>
      <c r="F50" s="298">
        <f t="shared" si="13"/>
        <v>13073080</v>
      </c>
      <c r="G50" s="298">
        <f t="shared" si="13"/>
        <v>13154781</v>
      </c>
      <c r="H50" s="298">
        <f t="shared" si="13"/>
        <v>13516106</v>
      </c>
      <c r="I50" s="298">
        <f t="shared" si="13"/>
        <v>13244237</v>
      </c>
      <c r="J50" s="298">
        <f t="shared" si="13"/>
        <v>13509048</v>
      </c>
      <c r="K50" s="298">
        <f t="shared" si="13"/>
        <v>13844709</v>
      </c>
      <c r="L50" s="298">
        <f t="shared" si="13"/>
        <v>14130791</v>
      </c>
      <c r="M50" s="298">
        <f t="shared" si="13"/>
        <v>13973216</v>
      </c>
      <c r="N50" s="298">
        <f t="shared" si="13"/>
        <v>13342609</v>
      </c>
      <c r="O50" s="298">
        <f t="shared" si="13"/>
        <v>13173621</v>
      </c>
      <c r="P50" s="298">
        <f>P49+P43+P37+P31+P24</f>
        <v>159659303</v>
      </c>
    </row>
    <row r="51" spans="2:16" x14ac:dyDescent="0.25">
      <c r="B51" s="304" t="s">
        <v>89</v>
      </c>
      <c r="C51" s="296"/>
      <c r="D51" s="300">
        <v>54353</v>
      </c>
      <c r="E51" s="300">
        <v>61224</v>
      </c>
      <c r="F51" s="300">
        <v>53886</v>
      </c>
      <c r="G51" s="300">
        <v>97578</v>
      </c>
      <c r="H51" s="300">
        <v>82523</v>
      </c>
      <c r="I51" s="300">
        <v>77033</v>
      </c>
      <c r="J51" s="300">
        <v>67199</v>
      </c>
      <c r="K51" s="300">
        <v>56789</v>
      </c>
      <c r="L51" s="300">
        <v>98074</v>
      </c>
      <c r="M51" s="300">
        <v>133279</v>
      </c>
      <c r="N51" s="300">
        <v>132353</v>
      </c>
      <c r="O51" s="300">
        <v>101123</v>
      </c>
      <c r="P51" s="303">
        <f t="shared" si="10"/>
        <v>1015414</v>
      </c>
    </row>
    <row r="52" spans="2:16" x14ac:dyDescent="0.25">
      <c r="B52" s="304" t="s">
        <v>90</v>
      </c>
      <c r="C52" s="296"/>
      <c r="D52" s="300">
        <v>0</v>
      </c>
      <c r="E52" s="300">
        <v>0</v>
      </c>
      <c r="F52" s="300">
        <v>3719</v>
      </c>
      <c r="G52" s="300">
        <v>3688</v>
      </c>
      <c r="H52" s="300">
        <v>2218</v>
      </c>
      <c r="I52" s="300">
        <v>7064</v>
      </c>
      <c r="J52" s="300">
        <v>8443</v>
      </c>
      <c r="K52" s="300">
        <v>10455</v>
      </c>
      <c r="L52" s="300">
        <v>7054</v>
      </c>
      <c r="M52" s="300">
        <v>6488</v>
      </c>
      <c r="N52" s="300">
        <v>9438</v>
      </c>
      <c r="O52" s="300">
        <v>0</v>
      </c>
      <c r="P52" s="303">
        <f t="shared" si="10"/>
        <v>58567</v>
      </c>
    </row>
    <row r="53" spans="2:16" x14ac:dyDescent="0.25">
      <c r="B53" s="408" t="s">
        <v>91</v>
      </c>
      <c r="C53" s="408"/>
      <c r="D53" s="298">
        <f>SUM(D51:D52)</f>
        <v>54353</v>
      </c>
      <c r="E53" s="298">
        <f t="shared" ref="E53:L53" si="14">SUM(E51:E52)</f>
        <v>61224</v>
      </c>
      <c r="F53" s="298">
        <f t="shared" si="14"/>
        <v>57605</v>
      </c>
      <c r="G53" s="298">
        <f t="shared" si="14"/>
        <v>101266</v>
      </c>
      <c r="H53" s="298">
        <f t="shared" si="14"/>
        <v>84741</v>
      </c>
      <c r="I53" s="298">
        <f t="shared" si="14"/>
        <v>84097</v>
      </c>
      <c r="J53" s="298">
        <f t="shared" si="14"/>
        <v>75642</v>
      </c>
      <c r="K53" s="298">
        <f t="shared" si="14"/>
        <v>67244</v>
      </c>
      <c r="L53" s="298">
        <f t="shared" si="14"/>
        <v>105128</v>
      </c>
      <c r="M53" s="298">
        <f>SUM(M51:M52)</f>
        <v>139767</v>
      </c>
      <c r="N53" s="298">
        <f t="shared" ref="N53" si="15">SUM(N51:N52)</f>
        <v>141791</v>
      </c>
      <c r="O53" s="298">
        <f>SUM(O51:O52)</f>
        <v>101123</v>
      </c>
      <c r="P53" s="298">
        <f>SUM(D53:O53)</f>
        <v>1073981</v>
      </c>
    </row>
    <row r="54" spans="2:16" x14ac:dyDescent="0.25">
      <c r="B54" s="408" t="s">
        <v>92</v>
      </c>
      <c r="C54" s="408"/>
      <c r="D54" s="298">
        <f>D31+D37+D43+D49+D53+D24</f>
        <v>12705060</v>
      </c>
      <c r="E54" s="298">
        <f t="shared" ref="E54:O54" si="16">E31+E37+E43+E49+E53+E24</f>
        <v>12107622</v>
      </c>
      <c r="F54" s="298">
        <f t="shared" si="16"/>
        <v>13130685</v>
      </c>
      <c r="G54" s="298">
        <f t="shared" si="16"/>
        <v>13256047</v>
      </c>
      <c r="H54" s="298">
        <f t="shared" si="16"/>
        <v>13600847</v>
      </c>
      <c r="I54" s="298">
        <f t="shared" si="16"/>
        <v>13328334</v>
      </c>
      <c r="J54" s="298">
        <f t="shared" si="16"/>
        <v>13584690</v>
      </c>
      <c r="K54" s="298">
        <f t="shared" si="16"/>
        <v>13911953</v>
      </c>
      <c r="L54" s="298">
        <f t="shared" si="16"/>
        <v>14235919</v>
      </c>
      <c r="M54" s="298">
        <f t="shared" si="16"/>
        <v>14112983</v>
      </c>
      <c r="N54" s="298">
        <f t="shared" si="16"/>
        <v>13484400</v>
      </c>
      <c r="O54" s="298">
        <f t="shared" si="16"/>
        <v>13274744</v>
      </c>
      <c r="P54" s="298">
        <f>SUM(D54:O54)</f>
        <v>160733284</v>
      </c>
    </row>
    <row r="55" spans="2:16" x14ac:dyDescent="0.25">
      <c r="B55" s="106" t="s">
        <v>30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</row>
    <row r="56" spans="2:16" x14ac:dyDescent="0.25"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2:16" ht="18" x14ac:dyDescent="0.25">
      <c r="B57" s="400" t="s">
        <v>93</v>
      </c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  <c r="N57" s="400"/>
      <c r="O57" s="400"/>
      <c r="P57" s="400"/>
    </row>
    <row r="58" spans="2:16" x14ac:dyDescent="0.25">
      <c r="B58" s="294" t="s">
        <v>71</v>
      </c>
      <c r="C58" s="294" t="s">
        <v>72</v>
      </c>
      <c r="D58" s="295">
        <f>D17</f>
        <v>44562</v>
      </c>
      <c r="E58" s="295">
        <f t="shared" ref="E58:O58" si="17">E17</f>
        <v>44593</v>
      </c>
      <c r="F58" s="295">
        <f t="shared" si="17"/>
        <v>44621</v>
      </c>
      <c r="G58" s="295">
        <f t="shared" si="17"/>
        <v>44652</v>
      </c>
      <c r="H58" s="295">
        <f t="shared" si="17"/>
        <v>44682</v>
      </c>
      <c r="I58" s="295">
        <f t="shared" si="17"/>
        <v>44713</v>
      </c>
      <c r="J58" s="295">
        <f t="shared" si="17"/>
        <v>44743</v>
      </c>
      <c r="K58" s="295">
        <f t="shared" si="17"/>
        <v>44774</v>
      </c>
      <c r="L58" s="295">
        <f t="shared" si="17"/>
        <v>44805</v>
      </c>
      <c r="M58" s="295">
        <f t="shared" si="17"/>
        <v>44835</v>
      </c>
      <c r="N58" s="295">
        <f t="shared" si="17"/>
        <v>44866</v>
      </c>
      <c r="O58" s="295">
        <f t="shared" si="17"/>
        <v>44896</v>
      </c>
      <c r="P58" s="295" t="s">
        <v>69</v>
      </c>
    </row>
    <row r="59" spans="2:16" x14ac:dyDescent="0.25">
      <c r="B59" s="409" t="s">
        <v>73</v>
      </c>
      <c r="C59" s="296" t="s">
        <v>74</v>
      </c>
      <c r="D59" s="300">
        <v>1450017.59</v>
      </c>
      <c r="E59" s="300">
        <v>1599250.77</v>
      </c>
      <c r="F59" s="300">
        <v>1389396.3</v>
      </c>
      <c r="G59" s="300">
        <v>1433949.35</v>
      </c>
      <c r="H59" s="300">
        <v>1395939.26</v>
      </c>
      <c r="I59" s="300">
        <v>1480381.27</v>
      </c>
      <c r="J59" s="300">
        <v>1421117.13</v>
      </c>
      <c r="K59" s="300">
        <v>1397927.16</v>
      </c>
      <c r="L59" s="300">
        <v>1374311.8</v>
      </c>
      <c r="M59" s="300">
        <v>1365032.37</v>
      </c>
      <c r="N59" s="300">
        <v>1431965.05</v>
      </c>
      <c r="O59" s="300">
        <v>1456074.75</v>
      </c>
      <c r="P59" s="301">
        <f>SUM(D59:O59)</f>
        <v>17195362.800000001</v>
      </c>
    </row>
    <row r="60" spans="2:16" x14ac:dyDescent="0.25">
      <c r="B60" s="409"/>
      <c r="C60" s="296" t="s">
        <v>75</v>
      </c>
      <c r="D60" s="300">
        <v>3671772.57</v>
      </c>
      <c r="E60" s="300">
        <v>3628123.19</v>
      </c>
      <c r="F60" s="300">
        <v>3687700.08</v>
      </c>
      <c r="G60" s="300">
        <v>3666253.39</v>
      </c>
      <c r="H60" s="300">
        <v>3671288.44</v>
      </c>
      <c r="I60" s="300">
        <v>3630370.43</v>
      </c>
      <c r="J60" s="300">
        <v>3697441.31</v>
      </c>
      <c r="K60" s="300">
        <v>3694309.41</v>
      </c>
      <c r="L60" s="300">
        <v>3699511.82</v>
      </c>
      <c r="M60" s="300">
        <v>3694485.7</v>
      </c>
      <c r="N60" s="300">
        <v>3706910.36</v>
      </c>
      <c r="O60" s="300">
        <v>3692887.91</v>
      </c>
      <c r="P60" s="301">
        <f t="shared" ref="P60:P64" si="18">SUM(D60:O60)</f>
        <v>44141054.609999999</v>
      </c>
    </row>
    <row r="61" spans="2:16" x14ac:dyDescent="0.25">
      <c r="B61" s="409"/>
      <c r="C61" s="296" t="s">
        <v>76</v>
      </c>
      <c r="D61" s="300">
        <v>2444244.2000000002</v>
      </c>
      <c r="E61" s="300">
        <v>2131512.67</v>
      </c>
      <c r="F61" s="300">
        <v>2588519.86</v>
      </c>
      <c r="G61" s="300">
        <v>2552847.85</v>
      </c>
      <c r="H61" s="300">
        <v>2612692.7400000002</v>
      </c>
      <c r="I61" s="300">
        <v>2427558.66</v>
      </c>
      <c r="J61" s="300">
        <v>2547048.52</v>
      </c>
      <c r="K61" s="300">
        <v>2596759.61</v>
      </c>
      <c r="L61" s="300">
        <v>2667148.4300000002</v>
      </c>
      <c r="M61" s="300">
        <v>2746167.85</v>
      </c>
      <c r="N61" s="300">
        <v>2580378.9</v>
      </c>
      <c r="O61" s="300">
        <v>2520225.2400000002</v>
      </c>
      <c r="P61" s="301">
        <f t="shared" si="18"/>
        <v>30415104.530000001</v>
      </c>
    </row>
    <row r="62" spans="2:16" x14ac:dyDescent="0.25">
      <c r="B62" s="409"/>
      <c r="C62" s="296" t="s">
        <v>77</v>
      </c>
      <c r="D62" s="300">
        <v>1007869.82</v>
      </c>
      <c r="E62" s="300">
        <v>807870.65</v>
      </c>
      <c r="F62" s="300">
        <v>1107228.6100000001</v>
      </c>
      <c r="G62" s="300">
        <v>1034203.8</v>
      </c>
      <c r="H62" s="300">
        <v>1150608.58</v>
      </c>
      <c r="I62" s="300">
        <v>1046409.47</v>
      </c>
      <c r="J62" s="300">
        <v>1112833.73</v>
      </c>
      <c r="K62" s="300">
        <v>1168447.48</v>
      </c>
      <c r="L62" s="300">
        <v>1228123.71</v>
      </c>
      <c r="M62" s="300">
        <v>1235049</v>
      </c>
      <c r="N62" s="300">
        <v>1083308.5</v>
      </c>
      <c r="O62" s="300">
        <v>1028845.69</v>
      </c>
      <c r="P62" s="301">
        <f t="shared" si="18"/>
        <v>13010799.040000001</v>
      </c>
    </row>
    <row r="63" spans="2:16" x14ac:dyDescent="0.25">
      <c r="B63" s="409"/>
      <c r="C63" s="296" t="s">
        <v>78</v>
      </c>
      <c r="D63" s="300">
        <v>305566.40000000002</v>
      </c>
      <c r="E63" s="300">
        <v>229811.86</v>
      </c>
      <c r="F63" s="300">
        <v>336706.35</v>
      </c>
      <c r="G63" s="300">
        <v>329996.5</v>
      </c>
      <c r="H63" s="300">
        <v>365911.5</v>
      </c>
      <c r="I63" s="300">
        <v>347886.7</v>
      </c>
      <c r="J63" s="300">
        <v>377372.8</v>
      </c>
      <c r="K63" s="300">
        <v>395985.7</v>
      </c>
      <c r="L63" s="300">
        <v>432155.1</v>
      </c>
      <c r="M63" s="300">
        <v>394239.55</v>
      </c>
      <c r="N63" s="300">
        <v>319326.83</v>
      </c>
      <c r="O63" s="300">
        <v>310490.8</v>
      </c>
      <c r="P63" s="301">
        <f t="shared" si="18"/>
        <v>4145450.09</v>
      </c>
    </row>
    <row r="64" spans="2:16" x14ac:dyDescent="0.25">
      <c r="B64" s="409"/>
      <c r="C64" s="296" t="s">
        <v>79</v>
      </c>
      <c r="D64" s="300">
        <v>222728.71</v>
      </c>
      <c r="E64" s="300">
        <v>303320.59999999998</v>
      </c>
      <c r="F64" s="300">
        <v>254102.9</v>
      </c>
      <c r="G64" s="300">
        <v>257927.7</v>
      </c>
      <c r="H64" s="300">
        <v>331760.8</v>
      </c>
      <c r="I64" s="300">
        <v>317787</v>
      </c>
      <c r="J64" s="300">
        <v>326026.61</v>
      </c>
      <c r="K64" s="300">
        <v>369932.79</v>
      </c>
      <c r="L64" s="300">
        <v>361380.55</v>
      </c>
      <c r="M64" s="300">
        <v>320635.18</v>
      </c>
      <c r="N64" s="300">
        <v>280079.08</v>
      </c>
      <c r="O64" s="300">
        <v>352837.5</v>
      </c>
      <c r="P64" s="301">
        <f t="shared" si="18"/>
        <v>3698519.42</v>
      </c>
    </row>
    <row r="65" spans="2:16" ht="14.25" customHeight="1" x14ac:dyDescent="0.25">
      <c r="B65" s="410" t="s">
        <v>80</v>
      </c>
      <c r="C65" s="410"/>
      <c r="D65" s="302">
        <f xml:space="preserve"> SUM(D59:D64)</f>
        <v>9102199.290000001</v>
      </c>
      <c r="E65" s="302">
        <f t="shared" ref="E65:O65" si="19" xml:space="preserve"> SUM(E59:E64)</f>
        <v>8699889.7400000002</v>
      </c>
      <c r="F65" s="302">
        <f t="shared" si="19"/>
        <v>9363654.0999999996</v>
      </c>
      <c r="G65" s="302">
        <f t="shared" si="19"/>
        <v>9275178.5899999999</v>
      </c>
      <c r="H65" s="302">
        <f t="shared" si="19"/>
        <v>9528201.3200000003</v>
      </c>
      <c r="I65" s="302">
        <f t="shared" si="19"/>
        <v>9250393.5299999993</v>
      </c>
      <c r="J65" s="302">
        <f t="shared" si="19"/>
        <v>9481840.0999999996</v>
      </c>
      <c r="K65" s="302">
        <f t="shared" si="19"/>
        <v>9623362.1499999985</v>
      </c>
      <c r="L65" s="302">
        <f t="shared" si="19"/>
        <v>9762631.410000002</v>
      </c>
      <c r="M65" s="302">
        <f t="shared" si="19"/>
        <v>9755609.6500000004</v>
      </c>
      <c r="N65" s="302">
        <f t="shared" si="19"/>
        <v>9401968.7200000007</v>
      </c>
      <c r="O65" s="302">
        <f t="shared" si="19"/>
        <v>9361361.8900000006</v>
      </c>
      <c r="P65" s="302">
        <f>SUM(D65:O65)</f>
        <v>112606290.48999999</v>
      </c>
    </row>
    <row r="66" spans="2:16" x14ac:dyDescent="0.25">
      <c r="B66" s="409" t="s">
        <v>81</v>
      </c>
      <c r="C66" s="296" t="s">
        <v>74</v>
      </c>
      <c r="D66" s="300">
        <v>31793.14</v>
      </c>
      <c r="E66" s="300">
        <v>35270.97</v>
      </c>
      <c r="F66" s="300">
        <v>35495.69</v>
      </c>
      <c r="G66" s="300">
        <v>38690.32</v>
      </c>
      <c r="H66" s="300">
        <v>38040.53</v>
      </c>
      <c r="I66" s="300">
        <v>41352.5</v>
      </c>
      <c r="J66" s="300">
        <v>41668.199999999997</v>
      </c>
      <c r="K66" s="300">
        <v>39411.53</v>
      </c>
      <c r="L66" s="300">
        <v>41222.6</v>
      </c>
      <c r="M66" s="300">
        <v>40866.58</v>
      </c>
      <c r="N66" s="300">
        <v>45906.58</v>
      </c>
      <c r="O66" s="300">
        <v>50410.2</v>
      </c>
      <c r="P66" s="301">
        <f>SUM(D66:O66)</f>
        <v>480128.84</v>
      </c>
    </row>
    <row r="67" spans="2:16" x14ac:dyDescent="0.25">
      <c r="B67" s="409"/>
      <c r="C67" s="296" t="s">
        <v>75</v>
      </c>
      <c r="D67" s="300">
        <v>75705.899999999994</v>
      </c>
      <c r="E67" s="300">
        <v>74074.11</v>
      </c>
      <c r="F67" s="300">
        <v>91749.85</v>
      </c>
      <c r="G67" s="300">
        <v>96237.11</v>
      </c>
      <c r="H67" s="300">
        <v>100350.23</v>
      </c>
      <c r="I67" s="300">
        <v>94538.18</v>
      </c>
      <c r="J67" s="300">
        <v>96425.48</v>
      </c>
      <c r="K67" s="300">
        <v>106133.2</v>
      </c>
      <c r="L67" s="300">
        <v>106461.1</v>
      </c>
      <c r="M67" s="300">
        <v>119464.86</v>
      </c>
      <c r="N67" s="300">
        <v>119495.7</v>
      </c>
      <c r="O67" s="300">
        <v>123811.74</v>
      </c>
      <c r="P67" s="301">
        <f t="shared" ref="P67:P89" si="20">SUM(D67:O67)</f>
        <v>1204447.46</v>
      </c>
    </row>
    <row r="68" spans="2:16" x14ac:dyDescent="0.25">
      <c r="B68" s="409"/>
      <c r="C68" s="296" t="s">
        <v>76</v>
      </c>
      <c r="D68" s="300">
        <v>56610.12</v>
      </c>
      <c r="E68" s="300">
        <v>51994.81</v>
      </c>
      <c r="F68" s="300">
        <v>76146.14</v>
      </c>
      <c r="G68" s="300">
        <v>71251.92</v>
      </c>
      <c r="H68" s="300">
        <v>71557.22</v>
      </c>
      <c r="I68" s="300">
        <v>71220.05</v>
      </c>
      <c r="J68" s="300">
        <v>74799.520000000004</v>
      </c>
      <c r="K68" s="300">
        <v>80500.38</v>
      </c>
      <c r="L68" s="300">
        <v>83586.45</v>
      </c>
      <c r="M68" s="300">
        <v>93430.09</v>
      </c>
      <c r="N68" s="300">
        <v>89135.75</v>
      </c>
      <c r="O68" s="300">
        <v>92054.61</v>
      </c>
      <c r="P68" s="301">
        <f t="shared" si="20"/>
        <v>912287.05999999982</v>
      </c>
    </row>
    <row r="69" spans="2:16" x14ac:dyDescent="0.25">
      <c r="B69" s="409"/>
      <c r="C69" s="296" t="s">
        <v>77</v>
      </c>
      <c r="D69" s="300">
        <v>26650.59</v>
      </c>
      <c r="E69" s="300">
        <v>20363.599999999999</v>
      </c>
      <c r="F69" s="300">
        <v>34081.4</v>
      </c>
      <c r="G69" s="300">
        <v>33564.400000000001</v>
      </c>
      <c r="H69" s="300">
        <v>32299.43</v>
      </c>
      <c r="I69" s="300">
        <v>29503.52</v>
      </c>
      <c r="J69" s="300">
        <v>31947.599999999999</v>
      </c>
      <c r="K69" s="300">
        <v>36061.199999999997</v>
      </c>
      <c r="L69" s="300">
        <v>39368.199999999997</v>
      </c>
      <c r="M69" s="300">
        <v>45171.99</v>
      </c>
      <c r="N69" s="300">
        <v>42123.69</v>
      </c>
      <c r="O69" s="300">
        <v>41515.730000000003</v>
      </c>
      <c r="P69" s="301">
        <f t="shared" si="20"/>
        <v>412651.35</v>
      </c>
    </row>
    <row r="70" spans="2:16" x14ac:dyDescent="0.25">
      <c r="B70" s="409"/>
      <c r="C70" s="296" t="s">
        <v>78</v>
      </c>
      <c r="D70" s="300">
        <v>6911</v>
      </c>
      <c r="E70" s="300">
        <v>5484.8</v>
      </c>
      <c r="F70" s="300">
        <v>9658.6</v>
      </c>
      <c r="G70" s="300">
        <v>8109.6</v>
      </c>
      <c r="H70" s="300">
        <v>9152</v>
      </c>
      <c r="I70" s="300">
        <v>7052.8</v>
      </c>
      <c r="J70" s="300">
        <v>8047.2</v>
      </c>
      <c r="K70" s="300">
        <v>9904.7999999999993</v>
      </c>
      <c r="L70" s="300">
        <v>10066.6</v>
      </c>
      <c r="M70" s="300">
        <v>13744</v>
      </c>
      <c r="N70" s="300">
        <v>12683.8</v>
      </c>
      <c r="O70" s="300">
        <v>11741.8</v>
      </c>
      <c r="P70" s="301">
        <f t="shared" si="20"/>
        <v>112557.00000000001</v>
      </c>
    </row>
    <row r="71" spans="2:16" x14ac:dyDescent="0.25">
      <c r="B71" s="409"/>
      <c r="C71" s="296" t="s">
        <v>79</v>
      </c>
      <c r="D71" s="300">
        <v>6179.8</v>
      </c>
      <c r="E71" s="300">
        <v>5830.4</v>
      </c>
      <c r="F71" s="300">
        <v>6835.8</v>
      </c>
      <c r="G71" s="300">
        <v>5572.4</v>
      </c>
      <c r="H71" s="300">
        <v>5211.2</v>
      </c>
      <c r="I71" s="300">
        <v>5580.6</v>
      </c>
      <c r="J71" s="300">
        <v>6091</v>
      </c>
      <c r="K71" s="300">
        <v>8323.11</v>
      </c>
      <c r="L71" s="300">
        <v>4766.5</v>
      </c>
      <c r="M71" s="300">
        <v>8577</v>
      </c>
      <c r="N71" s="300">
        <v>7332.2</v>
      </c>
      <c r="O71" s="300">
        <v>6571.8</v>
      </c>
      <c r="P71" s="301">
        <f t="shared" si="20"/>
        <v>76871.810000000012</v>
      </c>
    </row>
    <row r="72" spans="2:16" x14ac:dyDescent="0.25">
      <c r="B72" s="408" t="s">
        <v>80</v>
      </c>
      <c r="C72" s="408"/>
      <c r="D72" s="298">
        <f>SUM(D66:D71)</f>
        <v>203850.55</v>
      </c>
      <c r="E72" s="298">
        <f t="shared" ref="E72:O72" si="21">SUM(E66:E71)</f>
        <v>193018.69</v>
      </c>
      <c r="F72" s="298">
        <f t="shared" si="21"/>
        <v>253967.47999999998</v>
      </c>
      <c r="G72" s="298">
        <f t="shared" si="21"/>
        <v>253425.74999999997</v>
      </c>
      <c r="H72" s="298">
        <f t="shared" si="21"/>
        <v>256610.61000000002</v>
      </c>
      <c r="I72" s="298">
        <f t="shared" si="21"/>
        <v>249247.64999999997</v>
      </c>
      <c r="J72" s="298">
        <f t="shared" si="21"/>
        <v>258979.00000000003</v>
      </c>
      <c r="K72" s="298">
        <f t="shared" si="21"/>
        <v>280334.21999999997</v>
      </c>
      <c r="L72" s="298">
        <f t="shared" si="21"/>
        <v>285471.45</v>
      </c>
      <c r="M72" s="298">
        <f t="shared" si="21"/>
        <v>321254.52</v>
      </c>
      <c r="N72" s="298">
        <f t="shared" si="21"/>
        <v>316677.71999999997</v>
      </c>
      <c r="O72" s="298">
        <f t="shared" si="21"/>
        <v>326105.87999999995</v>
      </c>
      <c r="P72" s="298">
        <f>SUM(D72:O72)</f>
        <v>3198943.5199999996</v>
      </c>
    </row>
    <row r="73" spans="2:16" x14ac:dyDescent="0.25">
      <c r="B73" s="411" t="s">
        <v>48</v>
      </c>
      <c r="C73" s="296" t="s">
        <v>82</v>
      </c>
      <c r="D73" s="300">
        <v>39176.089999999997</v>
      </c>
      <c r="E73" s="300">
        <v>40614.129999999997</v>
      </c>
      <c r="F73" s="300">
        <v>38972.400000000001</v>
      </c>
      <c r="G73" s="300">
        <v>38950.949999999997</v>
      </c>
      <c r="H73" s="300">
        <v>39224.86</v>
      </c>
      <c r="I73" s="300">
        <v>39419</v>
      </c>
      <c r="J73" s="300">
        <v>38744.400000000001</v>
      </c>
      <c r="K73" s="300">
        <v>38273.1</v>
      </c>
      <c r="L73" s="300">
        <v>38212.01</v>
      </c>
      <c r="M73" s="300">
        <v>38300.65</v>
      </c>
      <c r="N73" s="300">
        <v>39754.61</v>
      </c>
      <c r="O73" s="300">
        <v>39208.9</v>
      </c>
      <c r="P73" s="301">
        <f t="shared" si="20"/>
        <v>468851.10000000003</v>
      </c>
    </row>
    <row r="74" spans="2:16" x14ac:dyDescent="0.25">
      <c r="B74" s="411"/>
      <c r="C74" s="296" t="s">
        <v>83</v>
      </c>
      <c r="D74" s="300">
        <v>42956.82</v>
      </c>
      <c r="E74" s="300">
        <v>42705.01</v>
      </c>
      <c r="F74" s="300">
        <v>42627.07</v>
      </c>
      <c r="G74" s="300">
        <v>43578.2</v>
      </c>
      <c r="H74" s="300">
        <v>42738.39</v>
      </c>
      <c r="I74" s="300">
        <v>44242.19</v>
      </c>
      <c r="J74" s="300">
        <v>43434.45</v>
      </c>
      <c r="K74" s="300">
        <v>44054.27</v>
      </c>
      <c r="L74" s="300">
        <v>44069.5</v>
      </c>
      <c r="M74" s="300">
        <v>43370.400000000001</v>
      </c>
      <c r="N74" s="300">
        <v>43702.79</v>
      </c>
      <c r="O74" s="300">
        <v>43929.34</v>
      </c>
      <c r="P74" s="301">
        <f t="shared" si="20"/>
        <v>521408.43000000005</v>
      </c>
    </row>
    <row r="75" spans="2:16" x14ac:dyDescent="0.25">
      <c r="B75" s="411"/>
      <c r="C75" s="296" t="s">
        <v>84</v>
      </c>
      <c r="D75" s="300">
        <v>44922.2</v>
      </c>
      <c r="E75" s="300">
        <v>44547.59</v>
      </c>
      <c r="F75" s="300">
        <v>45565.59</v>
      </c>
      <c r="G75" s="300">
        <v>45140.15</v>
      </c>
      <c r="H75" s="300">
        <v>45051.93</v>
      </c>
      <c r="I75" s="300">
        <v>44141.75</v>
      </c>
      <c r="J75" s="300">
        <v>44772.69</v>
      </c>
      <c r="K75" s="300">
        <v>44849.95</v>
      </c>
      <c r="L75" s="300">
        <v>44507</v>
      </c>
      <c r="M75" s="300">
        <v>45274.080000000002</v>
      </c>
      <c r="N75" s="300">
        <v>44148.46</v>
      </c>
      <c r="O75" s="300">
        <v>42846.36</v>
      </c>
      <c r="P75" s="301">
        <f t="shared" si="20"/>
        <v>535767.75</v>
      </c>
    </row>
    <row r="76" spans="2:16" x14ac:dyDescent="0.25">
      <c r="B76" s="411"/>
      <c r="C76" s="296" t="s">
        <v>85</v>
      </c>
      <c r="D76" s="300">
        <v>214399.62</v>
      </c>
      <c r="E76" s="300">
        <v>209067.68</v>
      </c>
      <c r="F76" s="300">
        <v>221343.96</v>
      </c>
      <c r="G76" s="300">
        <v>223386.82</v>
      </c>
      <c r="H76" s="300">
        <v>225901.77</v>
      </c>
      <c r="I76" s="300">
        <v>224773.43</v>
      </c>
      <c r="J76" s="300">
        <v>231221.34</v>
      </c>
      <c r="K76" s="300">
        <v>236968.77</v>
      </c>
      <c r="L76" s="300">
        <v>238574.4</v>
      </c>
      <c r="M76" s="300">
        <v>241853.2</v>
      </c>
      <c r="N76" s="300">
        <v>227798.41</v>
      </c>
      <c r="O76" s="300">
        <v>230925.5</v>
      </c>
      <c r="P76" s="301">
        <f t="shared" si="20"/>
        <v>2726214.9000000004</v>
      </c>
    </row>
    <row r="77" spans="2:16" x14ac:dyDescent="0.25">
      <c r="B77" s="411"/>
      <c r="C77" s="296" t="s">
        <v>86</v>
      </c>
      <c r="D77" s="300">
        <v>641259.11</v>
      </c>
      <c r="E77" s="300">
        <v>615901.76</v>
      </c>
      <c r="F77" s="300">
        <v>684731.05</v>
      </c>
      <c r="G77" s="300">
        <v>714593.58</v>
      </c>
      <c r="H77" s="300">
        <v>773120.91</v>
      </c>
      <c r="I77" s="300">
        <v>770615.37</v>
      </c>
      <c r="J77" s="300">
        <v>777146.06</v>
      </c>
      <c r="K77" s="300">
        <v>812357.22</v>
      </c>
      <c r="L77" s="300">
        <v>829920.57</v>
      </c>
      <c r="M77" s="300">
        <v>801595.25</v>
      </c>
      <c r="N77" s="300">
        <v>768549.69</v>
      </c>
      <c r="O77" s="300">
        <v>750499.73</v>
      </c>
      <c r="P77" s="301">
        <f t="shared" si="20"/>
        <v>8940290.3000000007</v>
      </c>
    </row>
    <row r="78" spans="2:16" x14ac:dyDescent="0.25">
      <c r="B78" s="408" t="s">
        <v>80</v>
      </c>
      <c r="C78" s="408"/>
      <c r="D78" s="298">
        <f>SUM(D73:D77)</f>
        <v>982713.84</v>
      </c>
      <c r="E78" s="298">
        <f t="shared" ref="E78:O78" si="22">SUM(E73:E77)</f>
        <v>952836.16999999993</v>
      </c>
      <c r="F78" s="298">
        <f t="shared" si="22"/>
        <v>1033240.0700000001</v>
      </c>
      <c r="G78" s="298">
        <f t="shared" si="22"/>
        <v>1065649.7</v>
      </c>
      <c r="H78" s="298">
        <f t="shared" si="22"/>
        <v>1126037.8599999999</v>
      </c>
      <c r="I78" s="298">
        <f t="shared" si="22"/>
        <v>1123191.74</v>
      </c>
      <c r="J78" s="298">
        <f t="shared" si="22"/>
        <v>1135318.94</v>
      </c>
      <c r="K78" s="298">
        <f t="shared" si="22"/>
        <v>1176503.31</v>
      </c>
      <c r="L78" s="298">
        <f t="shared" si="22"/>
        <v>1195283.48</v>
      </c>
      <c r="M78" s="298">
        <f t="shared" si="22"/>
        <v>1170393.58</v>
      </c>
      <c r="N78" s="298">
        <f t="shared" si="22"/>
        <v>1123953.96</v>
      </c>
      <c r="O78" s="298">
        <f t="shared" si="22"/>
        <v>1107409.83</v>
      </c>
      <c r="P78" s="298">
        <f>SUM(D78:O78)</f>
        <v>13192532.480000002</v>
      </c>
    </row>
    <row r="79" spans="2:16" x14ac:dyDescent="0.25">
      <c r="B79" s="411" t="s">
        <v>49</v>
      </c>
      <c r="C79" s="296" t="s">
        <v>82</v>
      </c>
      <c r="D79" s="300">
        <v>310.7</v>
      </c>
      <c r="E79" s="300">
        <v>301.39999999999998</v>
      </c>
      <c r="F79" s="300">
        <v>316.7</v>
      </c>
      <c r="G79" s="300">
        <v>284.60000000000002</v>
      </c>
      <c r="H79" s="300">
        <v>292.10000000000002</v>
      </c>
      <c r="I79" s="300">
        <v>325.60000000000002</v>
      </c>
      <c r="J79" s="300">
        <v>283.7</v>
      </c>
      <c r="K79" s="300">
        <v>283.8</v>
      </c>
      <c r="L79" s="300">
        <v>288.3</v>
      </c>
      <c r="M79" s="300">
        <v>278.10000000000002</v>
      </c>
      <c r="N79" s="300">
        <v>317.60000000000002</v>
      </c>
      <c r="O79" s="300">
        <v>352</v>
      </c>
      <c r="P79" s="301">
        <f t="shared" si="20"/>
        <v>3634.6</v>
      </c>
    </row>
    <row r="80" spans="2:16" x14ac:dyDescent="0.25">
      <c r="B80" s="411"/>
      <c r="C80" s="296" t="s">
        <v>83</v>
      </c>
      <c r="D80" s="300">
        <v>449.5</v>
      </c>
      <c r="E80" s="300">
        <v>564.61</v>
      </c>
      <c r="F80" s="300">
        <v>456.9</v>
      </c>
      <c r="G80" s="300">
        <v>475.51</v>
      </c>
      <c r="H80" s="300">
        <v>475.11</v>
      </c>
      <c r="I80" s="300">
        <v>466.26</v>
      </c>
      <c r="J80" s="300">
        <v>436.8</v>
      </c>
      <c r="K80" s="300">
        <v>455.6</v>
      </c>
      <c r="L80" s="300">
        <v>390.2</v>
      </c>
      <c r="M80" s="300">
        <v>448.5</v>
      </c>
      <c r="N80" s="300">
        <v>517.79999999999995</v>
      </c>
      <c r="O80" s="300">
        <v>485.7</v>
      </c>
      <c r="P80" s="301">
        <f t="shared" si="20"/>
        <v>5622.4900000000007</v>
      </c>
    </row>
    <row r="81" spans="2:18" x14ac:dyDescent="0.25">
      <c r="B81" s="411"/>
      <c r="C81" s="296" t="s">
        <v>84</v>
      </c>
      <c r="D81" s="300">
        <v>656.8</v>
      </c>
      <c r="E81" s="300">
        <v>723.7</v>
      </c>
      <c r="F81" s="300">
        <v>629.79999999999995</v>
      </c>
      <c r="G81" s="300">
        <v>744.6</v>
      </c>
      <c r="H81" s="300">
        <v>532.4</v>
      </c>
      <c r="I81" s="300">
        <v>579.70000000000005</v>
      </c>
      <c r="J81" s="300">
        <v>561.5</v>
      </c>
      <c r="K81" s="300">
        <v>591.54999999999995</v>
      </c>
      <c r="L81" s="300">
        <v>644.95000000000005</v>
      </c>
      <c r="M81" s="300">
        <v>692.52</v>
      </c>
      <c r="N81" s="300">
        <v>621</v>
      </c>
      <c r="O81" s="300">
        <v>635.5</v>
      </c>
      <c r="P81" s="301">
        <f t="shared" si="20"/>
        <v>7614.02</v>
      </c>
    </row>
    <row r="82" spans="2:18" x14ac:dyDescent="0.25">
      <c r="B82" s="411"/>
      <c r="C82" s="296" t="s">
        <v>85</v>
      </c>
      <c r="D82" s="300">
        <v>5695.48</v>
      </c>
      <c r="E82" s="300">
        <v>4945.2</v>
      </c>
      <c r="F82" s="300">
        <v>5630.37</v>
      </c>
      <c r="G82" s="300">
        <v>5399.9</v>
      </c>
      <c r="H82" s="300">
        <v>5578.16</v>
      </c>
      <c r="I82" s="300">
        <v>5301.4</v>
      </c>
      <c r="J82" s="300">
        <v>5944.92</v>
      </c>
      <c r="K82" s="300">
        <v>5797.53</v>
      </c>
      <c r="L82" s="300">
        <v>6233.64</v>
      </c>
      <c r="M82" s="300">
        <v>6041.24</v>
      </c>
      <c r="N82" s="300">
        <v>6287.63</v>
      </c>
      <c r="O82" s="300">
        <v>5799.35</v>
      </c>
      <c r="P82" s="301">
        <f t="shared" si="20"/>
        <v>68654.819999999992</v>
      </c>
    </row>
    <row r="83" spans="2:18" x14ac:dyDescent="0.25">
      <c r="B83" s="411"/>
      <c r="C83" s="296" t="s">
        <v>86</v>
      </c>
      <c r="D83" s="300">
        <v>34772.400000000001</v>
      </c>
      <c r="E83" s="300">
        <v>31271.89</v>
      </c>
      <c r="F83" s="300">
        <v>31982.13</v>
      </c>
      <c r="G83" s="300">
        <v>34547.25</v>
      </c>
      <c r="H83" s="300">
        <v>36212.949999999997</v>
      </c>
      <c r="I83" s="300">
        <v>35514.32</v>
      </c>
      <c r="J83" s="300">
        <v>40140.519999999997</v>
      </c>
      <c r="K83" s="300">
        <v>42713.5</v>
      </c>
      <c r="L83" s="300">
        <v>43543.22</v>
      </c>
      <c r="M83" s="300">
        <v>44700.75</v>
      </c>
      <c r="N83" s="300">
        <v>40166.28</v>
      </c>
      <c r="O83" s="300">
        <v>38464.68</v>
      </c>
      <c r="P83" s="301">
        <f t="shared" si="20"/>
        <v>454029.88999999996</v>
      </c>
    </row>
    <row r="84" spans="2:18" x14ac:dyDescent="0.25">
      <c r="B84" s="408" t="s">
        <v>80</v>
      </c>
      <c r="C84" s="408"/>
      <c r="D84" s="298">
        <f>SUM(D79:D83)</f>
        <v>41884.880000000005</v>
      </c>
      <c r="E84" s="298">
        <f t="shared" ref="E84:O84" si="23">SUM(E79:E83)</f>
        <v>37806.800000000003</v>
      </c>
      <c r="F84" s="298">
        <f t="shared" si="23"/>
        <v>39015.9</v>
      </c>
      <c r="G84" s="298">
        <f t="shared" si="23"/>
        <v>41451.86</v>
      </c>
      <c r="H84" s="298">
        <f t="shared" si="23"/>
        <v>43090.720000000001</v>
      </c>
      <c r="I84" s="298">
        <f t="shared" si="23"/>
        <v>42187.28</v>
      </c>
      <c r="J84" s="298">
        <f t="shared" si="23"/>
        <v>47367.439999999995</v>
      </c>
      <c r="K84" s="298">
        <f t="shared" si="23"/>
        <v>49841.979999999996</v>
      </c>
      <c r="L84" s="298">
        <f t="shared" si="23"/>
        <v>51100.31</v>
      </c>
      <c r="M84" s="298">
        <f t="shared" si="23"/>
        <v>52161.11</v>
      </c>
      <c r="N84" s="298">
        <f t="shared" si="23"/>
        <v>47910.31</v>
      </c>
      <c r="O84" s="298">
        <f t="shared" si="23"/>
        <v>45737.23</v>
      </c>
      <c r="P84" s="298">
        <f>SUM(D84:O84)</f>
        <v>539555.81999999995</v>
      </c>
    </row>
    <row r="85" spans="2:18" x14ac:dyDescent="0.25">
      <c r="B85" s="411" t="s">
        <v>87</v>
      </c>
      <c r="C85" s="296" t="s">
        <v>82</v>
      </c>
      <c r="D85" s="300">
        <v>407.4</v>
      </c>
      <c r="E85" s="300">
        <v>431.8</v>
      </c>
      <c r="F85" s="300">
        <v>406.6</v>
      </c>
      <c r="G85" s="300">
        <v>414.2</v>
      </c>
      <c r="H85" s="300">
        <v>348.6</v>
      </c>
      <c r="I85" s="300">
        <v>343</v>
      </c>
      <c r="J85" s="300">
        <v>311.8</v>
      </c>
      <c r="K85" s="300">
        <v>369.6</v>
      </c>
      <c r="L85" s="300">
        <v>344</v>
      </c>
      <c r="M85" s="300">
        <v>343.4</v>
      </c>
      <c r="N85" s="300">
        <v>344.2</v>
      </c>
      <c r="O85" s="300">
        <v>332.8</v>
      </c>
      <c r="P85" s="301">
        <f t="shared" si="20"/>
        <v>4397.4000000000005</v>
      </c>
    </row>
    <row r="86" spans="2:18" customFormat="1" x14ac:dyDescent="0.25">
      <c r="B86" s="411"/>
      <c r="C86" s="296" t="s">
        <v>83</v>
      </c>
      <c r="D86" s="300">
        <v>554.79999999999995</v>
      </c>
      <c r="E86" s="300">
        <v>643</v>
      </c>
      <c r="F86" s="300">
        <v>662.2</v>
      </c>
      <c r="G86" s="300">
        <v>573.4</v>
      </c>
      <c r="H86" s="300">
        <v>485.4</v>
      </c>
      <c r="I86" s="300">
        <v>533</v>
      </c>
      <c r="J86" s="300">
        <v>433</v>
      </c>
      <c r="K86" s="300">
        <v>452.6</v>
      </c>
      <c r="L86" s="300">
        <v>444</v>
      </c>
      <c r="M86" s="300">
        <v>362</v>
      </c>
      <c r="N86" s="300">
        <v>425</v>
      </c>
      <c r="O86" s="300">
        <v>655.20000000000005</v>
      </c>
      <c r="P86" s="301">
        <f t="shared" si="20"/>
        <v>6223.6</v>
      </c>
    </row>
    <row r="87" spans="2:18" customFormat="1" x14ac:dyDescent="0.25">
      <c r="B87" s="411"/>
      <c r="C87" s="296" t="s">
        <v>84</v>
      </c>
      <c r="D87" s="300">
        <v>880.6</v>
      </c>
      <c r="E87" s="300">
        <v>888</v>
      </c>
      <c r="F87" s="300">
        <v>813.4</v>
      </c>
      <c r="G87" s="300">
        <v>706</v>
      </c>
      <c r="H87" s="300">
        <v>806.8</v>
      </c>
      <c r="I87" s="300">
        <v>744.8</v>
      </c>
      <c r="J87" s="300">
        <v>811</v>
      </c>
      <c r="K87" s="300">
        <v>610</v>
      </c>
      <c r="L87" s="300">
        <v>507.4</v>
      </c>
      <c r="M87" s="300">
        <v>733</v>
      </c>
      <c r="N87" s="300">
        <v>703</v>
      </c>
      <c r="O87" s="300">
        <v>707</v>
      </c>
      <c r="P87" s="301">
        <f t="shared" si="20"/>
        <v>8911</v>
      </c>
    </row>
    <row r="88" spans="2:18" customFormat="1" x14ac:dyDescent="0.25">
      <c r="B88" s="411"/>
      <c r="C88" s="296" t="s">
        <v>85</v>
      </c>
      <c r="D88" s="300">
        <v>11908.8</v>
      </c>
      <c r="E88" s="300">
        <v>14706</v>
      </c>
      <c r="F88" s="300">
        <v>11506</v>
      </c>
      <c r="G88" s="300">
        <v>11613</v>
      </c>
      <c r="H88" s="300">
        <v>13524.4</v>
      </c>
      <c r="I88" s="300">
        <v>10362.6</v>
      </c>
      <c r="J88" s="300">
        <v>10754</v>
      </c>
      <c r="K88" s="300">
        <v>10878.4</v>
      </c>
      <c r="L88" s="300">
        <v>10217.200000000001</v>
      </c>
      <c r="M88" s="300">
        <v>10064</v>
      </c>
      <c r="N88" s="300">
        <v>11101.6</v>
      </c>
      <c r="O88" s="300">
        <v>11830.4</v>
      </c>
      <c r="P88" s="301">
        <f t="shared" si="20"/>
        <v>138466.4</v>
      </c>
    </row>
    <row r="89" spans="2:18" customFormat="1" x14ac:dyDescent="0.25">
      <c r="B89" s="411"/>
      <c r="C89" s="296" t="s">
        <v>86</v>
      </c>
      <c r="D89" s="300">
        <v>657105.15</v>
      </c>
      <c r="E89" s="300">
        <v>593544.56999999995</v>
      </c>
      <c r="F89" s="300">
        <v>627947.48</v>
      </c>
      <c r="G89" s="300">
        <v>732063.97</v>
      </c>
      <c r="H89" s="300">
        <v>752167.62</v>
      </c>
      <c r="I89" s="300">
        <v>763450.71</v>
      </c>
      <c r="J89" s="300">
        <v>747340.75</v>
      </c>
      <c r="K89" s="300">
        <v>777513.27</v>
      </c>
      <c r="L89" s="300">
        <v>833107.38</v>
      </c>
      <c r="M89" s="300">
        <v>831566.8</v>
      </c>
      <c r="N89" s="300">
        <v>786731.94</v>
      </c>
      <c r="O89" s="300">
        <v>709552.13</v>
      </c>
      <c r="P89" s="301">
        <f t="shared" si="20"/>
        <v>8812091.7699999996</v>
      </c>
      <c r="Q89" s="97"/>
    </row>
    <row r="90" spans="2:18" customFormat="1" x14ac:dyDescent="0.25">
      <c r="B90" s="299" t="s">
        <v>94</v>
      </c>
      <c r="C90" s="296"/>
      <c r="D90" s="300"/>
      <c r="E90" s="300"/>
      <c r="F90" s="300">
        <v>1234835</v>
      </c>
      <c r="G90" s="300"/>
      <c r="H90" s="300"/>
      <c r="I90" s="300"/>
      <c r="J90" s="300"/>
      <c r="K90" s="300"/>
      <c r="L90" s="300"/>
      <c r="M90" s="300"/>
      <c r="N90" s="300"/>
      <c r="O90" s="300"/>
      <c r="P90" s="301"/>
      <c r="Q90" s="97"/>
    </row>
    <row r="91" spans="2:18" customFormat="1" x14ac:dyDescent="0.25">
      <c r="B91" s="408" t="s">
        <v>80</v>
      </c>
      <c r="C91" s="408"/>
      <c r="D91" s="298">
        <f t="shared" ref="D91:O91" si="24">SUM(D85:D89)</f>
        <v>670856.75</v>
      </c>
      <c r="E91" s="298">
        <f t="shared" si="24"/>
        <v>610213.37</v>
      </c>
      <c r="F91" s="298">
        <f t="shared" si="24"/>
        <v>641335.67999999993</v>
      </c>
      <c r="G91" s="298">
        <f t="shared" si="24"/>
        <v>745370.57</v>
      </c>
      <c r="H91" s="298">
        <f t="shared" si="24"/>
        <v>767332.82</v>
      </c>
      <c r="I91" s="298">
        <f t="shared" si="24"/>
        <v>775434.11</v>
      </c>
      <c r="J91" s="298">
        <f t="shared" si="24"/>
        <v>759650.55</v>
      </c>
      <c r="K91" s="298">
        <f t="shared" si="24"/>
        <v>789823.87</v>
      </c>
      <c r="L91" s="298">
        <f t="shared" si="24"/>
        <v>844619.98</v>
      </c>
      <c r="M91" s="298">
        <f t="shared" si="24"/>
        <v>843069.20000000007</v>
      </c>
      <c r="N91" s="298">
        <f t="shared" si="24"/>
        <v>799305.74</v>
      </c>
      <c r="O91" s="298">
        <f t="shared" si="24"/>
        <v>723077.53</v>
      </c>
      <c r="P91" s="298">
        <f>SUM(D91:O91)</f>
        <v>8970090.1699999999</v>
      </c>
      <c r="Q91" s="30"/>
    </row>
    <row r="92" spans="2:18" customFormat="1" x14ac:dyDescent="0.25">
      <c r="B92" s="408" t="s">
        <v>88</v>
      </c>
      <c r="C92" s="408"/>
      <c r="D92" s="298">
        <f>D65+D72+D78+D84+D91</f>
        <v>11001505.310000002</v>
      </c>
      <c r="E92" s="298">
        <f>E65+E72+E78+E84+E91</f>
        <v>10493764.77</v>
      </c>
      <c r="F92" s="298">
        <f>SUM(F65,F72,F78,F84,F90,F91)</f>
        <v>12566048.23</v>
      </c>
      <c r="G92" s="298">
        <f t="shared" ref="G92:O92" si="25">G65+G72+G78+G84+G91</f>
        <v>11381076.469999999</v>
      </c>
      <c r="H92" s="298">
        <f t="shared" si="25"/>
        <v>11721273.33</v>
      </c>
      <c r="I92" s="298">
        <f t="shared" si="25"/>
        <v>11440454.309999999</v>
      </c>
      <c r="J92" s="298">
        <f t="shared" si="25"/>
        <v>11683156.029999999</v>
      </c>
      <c r="K92" s="298">
        <f t="shared" si="25"/>
        <v>11919865.529999999</v>
      </c>
      <c r="L92" s="298">
        <f t="shared" si="25"/>
        <v>12139106.630000003</v>
      </c>
      <c r="M92" s="298">
        <f t="shared" si="25"/>
        <v>12142488.059999999</v>
      </c>
      <c r="N92" s="298">
        <f t="shared" si="25"/>
        <v>11689816.450000003</v>
      </c>
      <c r="O92" s="298">
        <f t="shared" si="25"/>
        <v>11563692.360000001</v>
      </c>
      <c r="P92" s="298">
        <f>SUM(D92:O92)</f>
        <v>139742247.48000002</v>
      </c>
      <c r="Q92" s="30"/>
      <c r="R92" s="27"/>
    </row>
    <row r="93" spans="2:18" customFormat="1" x14ac:dyDescent="0.25">
      <c r="B93" s="106" t="s">
        <v>30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27"/>
    </row>
    <row r="94" spans="2:18" customFormat="1" x14ac:dyDescent="0.25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27"/>
    </row>
    <row r="95" spans="2:18" customFormat="1" ht="15.75" x14ac:dyDescent="0.25">
      <c r="B95" s="400" t="s">
        <v>95</v>
      </c>
      <c r="C95" s="400"/>
      <c r="D95" s="400"/>
      <c r="E95" s="400"/>
      <c r="F95" s="400"/>
      <c r="G95" s="400"/>
      <c r="H95" s="400"/>
      <c r="I95" s="400"/>
      <c r="J95" s="400"/>
      <c r="K95" s="400"/>
      <c r="L95" s="400"/>
      <c r="M95" s="400"/>
      <c r="N95" s="400"/>
      <c r="O95" s="400"/>
      <c r="P95" s="400"/>
      <c r="Q95" s="30"/>
      <c r="R95" s="27"/>
    </row>
    <row r="96" spans="2:18" customFormat="1" x14ac:dyDescent="0.25">
      <c r="B96" s="294" t="s">
        <v>71</v>
      </c>
      <c r="C96" s="294" t="s">
        <v>72</v>
      </c>
      <c r="D96" s="295">
        <v>44562</v>
      </c>
      <c r="E96" s="295">
        <v>44593</v>
      </c>
      <c r="F96" s="295">
        <v>44621</v>
      </c>
      <c r="G96" s="295">
        <v>44652</v>
      </c>
      <c r="H96" s="295">
        <v>44682</v>
      </c>
      <c r="I96" s="295">
        <v>44713</v>
      </c>
      <c r="J96" s="295">
        <v>44743</v>
      </c>
      <c r="K96" s="295">
        <v>44774</v>
      </c>
      <c r="L96" s="295">
        <v>44805</v>
      </c>
      <c r="M96" s="295">
        <v>44835</v>
      </c>
      <c r="N96" s="295">
        <v>44866</v>
      </c>
      <c r="O96" s="295">
        <v>44896</v>
      </c>
      <c r="P96" s="295" t="s">
        <v>69</v>
      </c>
      <c r="Q96" s="30"/>
      <c r="R96" s="27"/>
    </row>
    <row r="97" spans="2:17" customFormat="1" x14ac:dyDescent="0.25">
      <c r="B97" s="409" t="s">
        <v>73</v>
      </c>
      <c r="C97" s="296" t="s">
        <v>74</v>
      </c>
      <c r="D97" s="297">
        <f t="shared" ref="D97:O97" si="26">+D18+D59</f>
        <v>3041988.59</v>
      </c>
      <c r="E97" s="297">
        <f t="shared" si="26"/>
        <v>3355601.77</v>
      </c>
      <c r="F97" s="297">
        <f t="shared" si="26"/>
        <v>2913281.3</v>
      </c>
      <c r="G97" s="297">
        <f t="shared" si="26"/>
        <v>3004452.35</v>
      </c>
      <c r="H97" s="297">
        <f t="shared" si="26"/>
        <v>2927884.26</v>
      </c>
      <c r="I97" s="297">
        <f t="shared" si="26"/>
        <v>3095276.27</v>
      </c>
      <c r="J97" s="297">
        <f t="shared" si="26"/>
        <v>2973974.13</v>
      </c>
      <c r="K97" s="297">
        <f t="shared" si="26"/>
        <v>2921485.16</v>
      </c>
      <c r="L97" s="297">
        <f t="shared" si="26"/>
        <v>2870170.8</v>
      </c>
      <c r="M97" s="297">
        <f t="shared" si="26"/>
        <v>2850413.37</v>
      </c>
      <c r="N97" s="297">
        <f t="shared" si="26"/>
        <v>2995592.05</v>
      </c>
      <c r="O97" s="297">
        <f t="shared" si="26"/>
        <v>3046814.75</v>
      </c>
      <c r="P97" s="297">
        <f>SUM(D97:O97)</f>
        <v>35996934.799999997</v>
      </c>
      <c r="Q97" s="30"/>
    </row>
    <row r="98" spans="2:17" customFormat="1" x14ac:dyDescent="0.25">
      <c r="B98" s="409"/>
      <c r="C98" s="296" t="s">
        <v>75</v>
      </c>
      <c r="D98" s="297">
        <f t="shared" ref="D98:O98" si="27">+D19+D60</f>
        <v>7690916.5700000003</v>
      </c>
      <c r="E98" s="297">
        <f t="shared" si="27"/>
        <v>7615710.1899999995</v>
      </c>
      <c r="F98" s="297">
        <f t="shared" si="27"/>
        <v>7720748.0800000001</v>
      </c>
      <c r="G98" s="297">
        <f t="shared" si="27"/>
        <v>7676358.3900000006</v>
      </c>
      <c r="H98" s="297">
        <f t="shared" si="27"/>
        <v>7683974.4399999995</v>
      </c>
      <c r="I98" s="297">
        <f t="shared" si="27"/>
        <v>7590925.4299999997</v>
      </c>
      <c r="J98" s="297">
        <f t="shared" si="27"/>
        <v>7722477.3100000005</v>
      </c>
      <c r="K98" s="297">
        <f t="shared" si="27"/>
        <v>7705893.4100000001</v>
      </c>
      <c r="L98" s="297">
        <f t="shared" si="27"/>
        <v>7709751.8200000003</v>
      </c>
      <c r="M98" s="297">
        <f t="shared" si="27"/>
        <v>7709307.7000000002</v>
      </c>
      <c r="N98" s="297">
        <f t="shared" si="27"/>
        <v>7736482.3599999994</v>
      </c>
      <c r="O98" s="297">
        <f t="shared" si="27"/>
        <v>7708827.9100000001</v>
      </c>
      <c r="P98" s="297">
        <f t="shared" ref="P98:P127" si="28">SUM(D98:O98)</f>
        <v>92271373.610000014</v>
      </c>
      <c r="Q98" s="30"/>
    </row>
    <row r="99" spans="2:17" customFormat="1" x14ac:dyDescent="0.25">
      <c r="B99" s="409"/>
      <c r="C99" s="296" t="s">
        <v>76</v>
      </c>
      <c r="D99" s="297">
        <f t="shared" ref="D99:O99" si="29">+D20+D61</f>
        <v>5253559.2</v>
      </c>
      <c r="E99" s="297">
        <f t="shared" si="29"/>
        <v>4601436.67</v>
      </c>
      <c r="F99" s="297">
        <f t="shared" si="29"/>
        <v>5550735.8599999994</v>
      </c>
      <c r="G99" s="297">
        <f t="shared" si="29"/>
        <v>5473698.8499999996</v>
      </c>
      <c r="H99" s="297">
        <f t="shared" si="29"/>
        <v>5589091.7400000002</v>
      </c>
      <c r="I99" s="297">
        <f t="shared" si="29"/>
        <v>5209148.66</v>
      </c>
      <c r="J99" s="297">
        <f t="shared" si="29"/>
        <v>5456200.5199999996</v>
      </c>
      <c r="K99" s="297">
        <f t="shared" si="29"/>
        <v>5552435.6099999994</v>
      </c>
      <c r="L99" s="297">
        <f t="shared" si="29"/>
        <v>5697513.4299999997</v>
      </c>
      <c r="M99" s="297">
        <f t="shared" si="29"/>
        <v>5854868.8499999996</v>
      </c>
      <c r="N99" s="297">
        <f t="shared" si="29"/>
        <v>5508291.9000000004</v>
      </c>
      <c r="O99" s="297">
        <f t="shared" si="29"/>
        <v>5380438.2400000002</v>
      </c>
      <c r="P99" s="297">
        <f t="shared" si="28"/>
        <v>65127419.530000001</v>
      </c>
      <c r="Q99" s="30"/>
    </row>
    <row r="100" spans="2:17" customFormat="1" x14ac:dyDescent="0.25">
      <c r="B100" s="409"/>
      <c r="C100" s="296" t="s">
        <v>77</v>
      </c>
      <c r="D100" s="297">
        <f t="shared" ref="D100:O100" si="30">+D21+D62</f>
        <v>2311828.8199999998</v>
      </c>
      <c r="E100" s="297">
        <f t="shared" si="30"/>
        <v>1868256.65</v>
      </c>
      <c r="F100" s="297">
        <f t="shared" si="30"/>
        <v>2527231.6100000003</v>
      </c>
      <c r="G100" s="297">
        <f t="shared" si="30"/>
        <v>2386989.7999999998</v>
      </c>
      <c r="H100" s="297">
        <f t="shared" si="30"/>
        <v>2620785.58</v>
      </c>
      <c r="I100" s="297">
        <f t="shared" si="30"/>
        <v>2401109.4699999997</v>
      </c>
      <c r="J100" s="297">
        <f t="shared" si="30"/>
        <v>2546206.73</v>
      </c>
      <c r="K100" s="297">
        <f t="shared" si="30"/>
        <v>2676354.48</v>
      </c>
      <c r="L100" s="297">
        <f t="shared" si="30"/>
        <v>2801338.71</v>
      </c>
      <c r="M100" s="297">
        <f t="shared" si="30"/>
        <v>2808939</v>
      </c>
      <c r="N100" s="297">
        <f t="shared" si="30"/>
        <v>2466755.5</v>
      </c>
      <c r="O100" s="297">
        <f t="shared" si="30"/>
        <v>2334644.69</v>
      </c>
      <c r="P100" s="297">
        <f t="shared" si="28"/>
        <v>29750441.040000003</v>
      </c>
    </row>
    <row r="101" spans="2:17" customFormat="1" x14ac:dyDescent="0.25">
      <c r="B101" s="409"/>
      <c r="C101" s="296" t="s">
        <v>78</v>
      </c>
      <c r="D101" s="297">
        <f t="shared" ref="D101:O101" si="31">+D22+D63</f>
        <v>791232.4</v>
      </c>
      <c r="E101" s="297">
        <f t="shared" si="31"/>
        <v>607531.86</v>
      </c>
      <c r="F101" s="297">
        <f t="shared" si="31"/>
        <v>875381.35</v>
      </c>
      <c r="G101" s="297">
        <f t="shared" si="31"/>
        <v>873815.5</v>
      </c>
      <c r="H101" s="297">
        <f t="shared" si="31"/>
        <v>954166.5</v>
      </c>
      <c r="I101" s="297">
        <f t="shared" si="31"/>
        <v>933134.7</v>
      </c>
      <c r="J101" s="297">
        <f t="shared" si="31"/>
        <v>996504.8</v>
      </c>
      <c r="K101" s="297">
        <f t="shared" si="31"/>
        <v>1061942.7</v>
      </c>
      <c r="L101" s="297">
        <f t="shared" si="31"/>
        <v>1142968.1000000001</v>
      </c>
      <c r="M101" s="297">
        <f t="shared" si="31"/>
        <v>1032648.55</v>
      </c>
      <c r="N101" s="297">
        <f t="shared" si="31"/>
        <v>827835.83000000007</v>
      </c>
      <c r="O101" s="297">
        <f t="shared" si="31"/>
        <v>788060.8</v>
      </c>
      <c r="P101" s="297">
        <f t="shared" si="28"/>
        <v>10885223.090000002</v>
      </c>
      <c r="Q101" s="30"/>
    </row>
    <row r="102" spans="2:17" customFormat="1" x14ac:dyDescent="0.25">
      <c r="B102" s="409"/>
      <c r="C102" s="296" t="s">
        <v>79</v>
      </c>
      <c r="D102" s="297">
        <f t="shared" ref="D102:O102" si="32">+D23+D64</f>
        <v>611791.71</v>
      </c>
      <c r="E102" s="297">
        <f t="shared" si="32"/>
        <v>757151.6</v>
      </c>
      <c r="F102" s="297">
        <f t="shared" si="32"/>
        <v>716632.9</v>
      </c>
      <c r="G102" s="297">
        <f t="shared" si="32"/>
        <v>732777.7</v>
      </c>
      <c r="H102" s="297">
        <f t="shared" si="32"/>
        <v>891900.8</v>
      </c>
      <c r="I102" s="297">
        <f t="shared" si="32"/>
        <v>899938</v>
      </c>
      <c r="J102" s="297">
        <f t="shared" si="32"/>
        <v>913548.61</v>
      </c>
      <c r="K102" s="297">
        <f t="shared" si="32"/>
        <v>1056050.79</v>
      </c>
      <c r="L102" s="297">
        <f t="shared" si="32"/>
        <v>1094771.55</v>
      </c>
      <c r="M102" s="297">
        <f t="shared" si="32"/>
        <v>890829.17999999993</v>
      </c>
      <c r="N102" s="297">
        <f t="shared" si="32"/>
        <v>741683.08000000007</v>
      </c>
      <c r="O102" s="297">
        <f t="shared" si="32"/>
        <v>888874.5</v>
      </c>
      <c r="P102" s="297">
        <f t="shared" si="28"/>
        <v>10195950.42</v>
      </c>
      <c r="Q102" s="30"/>
    </row>
    <row r="103" spans="2:17" customFormat="1" x14ac:dyDescent="0.25">
      <c r="B103" s="408" t="s">
        <v>80</v>
      </c>
      <c r="C103" s="408"/>
      <c r="D103" s="298">
        <f>SUM(D97:D102)</f>
        <v>19701317.289999999</v>
      </c>
      <c r="E103" s="298">
        <f t="shared" ref="E103:L103" si="33">SUM(E97:E102)</f>
        <v>18805688.739999998</v>
      </c>
      <c r="F103" s="298">
        <f t="shared" si="33"/>
        <v>20304011.099999998</v>
      </c>
      <c r="G103" s="298">
        <f t="shared" si="33"/>
        <v>20148092.59</v>
      </c>
      <c r="H103" s="298">
        <f t="shared" si="33"/>
        <v>20667803.32</v>
      </c>
      <c r="I103" s="298">
        <f t="shared" si="33"/>
        <v>20129532.529999997</v>
      </c>
      <c r="J103" s="298">
        <f t="shared" si="33"/>
        <v>20608912.100000001</v>
      </c>
      <c r="K103" s="298">
        <f t="shared" si="33"/>
        <v>20974162.149999999</v>
      </c>
      <c r="L103" s="298">
        <f t="shared" si="33"/>
        <v>21316514.410000004</v>
      </c>
      <c r="M103" s="298">
        <f>SUM(M97:M102)</f>
        <v>21147006.650000002</v>
      </c>
      <c r="N103" s="298">
        <f t="shared" ref="N103:O103" si="34">SUM(N97:N102)</f>
        <v>20276640.719999999</v>
      </c>
      <c r="O103" s="298">
        <f t="shared" si="34"/>
        <v>20147660.890000001</v>
      </c>
      <c r="P103" s="298">
        <f>SUM(D103:O103)</f>
        <v>244227342.49000001</v>
      </c>
      <c r="Q103" s="30"/>
    </row>
    <row r="104" spans="2:17" customFormat="1" x14ac:dyDescent="0.25">
      <c r="B104" s="409" t="s">
        <v>81</v>
      </c>
      <c r="C104" s="296" t="s">
        <v>74</v>
      </c>
      <c r="D104" s="297">
        <f t="shared" ref="D104:O104" si="35">+D25+D66</f>
        <v>68293.14</v>
      </c>
      <c r="E104" s="297">
        <f t="shared" si="35"/>
        <v>76017.97</v>
      </c>
      <c r="F104" s="297">
        <f t="shared" si="35"/>
        <v>76427.69</v>
      </c>
      <c r="G104" s="297">
        <f t="shared" si="35"/>
        <v>83214.320000000007</v>
      </c>
      <c r="H104" s="297">
        <f t="shared" si="35"/>
        <v>81807.53</v>
      </c>
      <c r="I104" s="297">
        <f t="shared" si="35"/>
        <v>88455.5</v>
      </c>
      <c r="J104" s="297">
        <f t="shared" si="35"/>
        <v>88653.2</v>
      </c>
      <c r="K104" s="297">
        <f t="shared" si="35"/>
        <v>84171.53</v>
      </c>
      <c r="L104" s="297">
        <f t="shared" si="35"/>
        <v>87837.6</v>
      </c>
      <c r="M104" s="297">
        <f t="shared" si="35"/>
        <v>87674.58</v>
      </c>
      <c r="N104" s="297">
        <f t="shared" si="35"/>
        <v>97975.58</v>
      </c>
      <c r="O104" s="297">
        <f t="shared" si="35"/>
        <v>107869.2</v>
      </c>
      <c r="P104" s="297">
        <f t="shared" si="28"/>
        <v>1028397.8399999999</v>
      </c>
      <c r="Q104" s="30"/>
    </row>
    <row r="105" spans="2:17" customFormat="1" x14ac:dyDescent="0.25">
      <c r="B105" s="409"/>
      <c r="C105" s="296" t="s">
        <v>75</v>
      </c>
      <c r="D105" s="297">
        <f t="shared" ref="D105:O105" si="36">+D26+D67</f>
        <v>164932.9</v>
      </c>
      <c r="E105" s="297">
        <f t="shared" si="36"/>
        <v>162792.10999999999</v>
      </c>
      <c r="F105" s="297">
        <f t="shared" si="36"/>
        <v>199716.85</v>
      </c>
      <c r="G105" s="297">
        <f t="shared" si="36"/>
        <v>209763.11</v>
      </c>
      <c r="H105" s="297">
        <f t="shared" si="36"/>
        <v>218263.22999999998</v>
      </c>
      <c r="I105" s="297">
        <f t="shared" si="36"/>
        <v>205978.18</v>
      </c>
      <c r="J105" s="297">
        <f t="shared" si="36"/>
        <v>210392.47999999998</v>
      </c>
      <c r="K105" s="297">
        <f t="shared" si="36"/>
        <v>230607.2</v>
      </c>
      <c r="L105" s="297">
        <f t="shared" si="36"/>
        <v>230509.1</v>
      </c>
      <c r="M105" s="297">
        <f t="shared" si="36"/>
        <v>257972.86</v>
      </c>
      <c r="N105" s="297">
        <f t="shared" si="36"/>
        <v>257506.7</v>
      </c>
      <c r="O105" s="297">
        <f t="shared" si="36"/>
        <v>267084.74</v>
      </c>
      <c r="P105" s="297">
        <f t="shared" si="28"/>
        <v>2615519.46</v>
      </c>
      <c r="Q105" s="30"/>
    </row>
    <row r="106" spans="2:17" customFormat="1" x14ac:dyDescent="0.25">
      <c r="B106" s="409"/>
      <c r="C106" s="296" t="s">
        <v>76</v>
      </c>
      <c r="D106" s="297">
        <f t="shared" ref="D106:O106" si="37">+D27+D68</f>
        <v>128117.12</v>
      </c>
      <c r="E106" s="297">
        <f t="shared" si="37"/>
        <v>116792.81</v>
      </c>
      <c r="F106" s="297">
        <f t="shared" si="37"/>
        <v>171015.14</v>
      </c>
      <c r="G106" s="297">
        <f t="shared" si="37"/>
        <v>161366.91999999998</v>
      </c>
      <c r="H106" s="297">
        <f t="shared" si="37"/>
        <v>161402.22</v>
      </c>
      <c r="I106" s="297">
        <f t="shared" si="37"/>
        <v>160215.04999999999</v>
      </c>
      <c r="J106" s="297">
        <f t="shared" si="37"/>
        <v>167869.52000000002</v>
      </c>
      <c r="K106" s="297">
        <f t="shared" si="37"/>
        <v>180714.38</v>
      </c>
      <c r="L106" s="297">
        <f t="shared" si="37"/>
        <v>188461.45</v>
      </c>
      <c r="M106" s="297">
        <f t="shared" si="37"/>
        <v>208693.09</v>
      </c>
      <c r="N106" s="297">
        <f t="shared" si="37"/>
        <v>198166.75</v>
      </c>
      <c r="O106" s="297">
        <f t="shared" si="37"/>
        <v>204527.61</v>
      </c>
      <c r="P106" s="297">
        <f t="shared" si="28"/>
        <v>2047342.06</v>
      </c>
      <c r="Q106" s="30"/>
    </row>
    <row r="107" spans="2:17" customFormat="1" x14ac:dyDescent="0.25">
      <c r="B107" s="409"/>
      <c r="C107" s="296" t="s">
        <v>77</v>
      </c>
      <c r="D107" s="297">
        <f t="shared" ref="D107:O107" si="38">+D28+D69</f>
        <v>62198.59</v>
      </c>
      <c r="E107" s="297">
        <f t="shared" si="38"/>
        <v>47934.6</v>
      </c>
      <c r="F107" s="297">
        <f t="shared" si="38"/>
        <v>80367.399999999994</v>
      </c>
      <c r="G107" s="297">
        <f t="shared" si="38"/>
        <v>79071.399999999994</v>
      </c>
      <c r="H107" s="297">
        <f t="shared" si="38"/>
        <v>76285.429999999993</v>
      </c>
      <c r="I107" s="297">
        <f t="shared" si="38"/>
        <v>70692.52</v>
      </c>
      <c r="J107" s="297">
        <f t="shared" si="38"/>
        <v>75676.600000000006</v>
      </c>
      <c r="K107" s="297">
        <f t="shared" si="38"/>
        <v>85184.2</v>
      </c>
      <c r="L107" s="297">
        <f t="shared" si="38"/>
        <v>92592.2</v>
      </c>
      <c r="M107" s="297">
        <f t="shared" si="38"/>
        <v>104982.98999999999</v>
      </c>
      <c r="N107" s="297">
        <f t="shared" si="38"/>
        <v>97637.69</v>
      </c>
      <c r="O107" s="297">
        <f t="shared" si="38"/>
        <v>95703.73000000001</v>
      </c>
      <c r="P107" s="297">
        <f t="shared" si="28"/>
        <v>968327.34999999986</v>
      </c>
      <c r="Q107" s="30"/>
    </row>
    <row r="108" spans="2:17" customFormat="1" x14ac:dyDescent="0.25">
      <c r="B108" s="409"/>
      <c r="C108" s="296" t="s">
        <v>78</v>
      </c>
      <c r="D108" s="297">
        <f t="shared" ref="D108:O108" si="39">+D29+D70</f>
        <v>17873</v>
      </c>
      <c r="E108" s="297">
        <f t="shared" si="39"/>
        <v>13585.8</v>
      </c>
      <c r="F108" s="297">
        <f t="shared" si="39"/>
        <v>23745.599999999999</v>
      </c>
      <c r="G108" s="297">
        <f t="shared" si="39"/>
        <v>21076.6</v>
      </c>
      <c r="H108" s="297">
        <f t="shared" si="39"/>
        <v>23297</v>
      </c>
      <c r="I108" s="297">
        <f t="shared" si="39"/>
        <v>18288.8</v>
      </c>
      <c r="J108" s="297">
        <f t="shared" si="39"/>
        <v>21703.200000000001</v>
      </c>
      <c r="K108" s="297">
        <f t="shared" si="39"/>
        <v>25461.8</v>
      </c>
      <c r="L108" s="297">
        <f t="shared" si="39"/>
        <v>26094.6</v>
      </c>
      <c r="M108" s="297">
        <f t="shared" si="39"/>
        <v>34155</v>
      </c>
      <c r="N108" s="297">
        <f t="shared" si="39"/>
        <v>30771.8</v>
      </c>
      <c r="O108" s="297">
        <f t="shared" si="39"/>
        <v>29079.8</v>
      </c>
      <c r="P108" s="297">
        <f t="shared" si="28"/>
        <v>285133</v>
      </c>
      <c r="Q108" s="30"/>
    </row>
    <row r="109" spans="2:17" customFormat="1" x14ac:dyDescent="0.25">
      <c r="B109" s="409"/>
      <c r="C109" s="296" t="s">
        <v>79</v>
      </c>
      <c r="D109" s="297">
        <f t="shared" ref="D109:O109" si="40">+D30+D71</f>
        <v>15986.8</v>
      </c>
      <c r="E109" s="297">
        <f t="shared" si="40"/>
        <v>14051.4</v>
      </c>
      <c r="F109" s="297">
        <f t="shared" si="40"/>
        <v>18075.8</v>
      </c>
      <c r="G109" s="297">
        <f t="shared" si="40"/>
        <v>15044.4</v>
      </c>
      <c r="H109" s="297">
        <f t="shared" si="40"/>
        <v>14887.2</v>
      </c>
      <c r="I109" s="297">
        <f t="shared" si="40"/>
        <v>15287.6</v>
      </c>
      <c r="J109" s="297">
        <f t="shared" si="40"/>
        <v>16205</v>
      </c>
      <c r="K109" s="297">
        <f t="shared" si="40"/>
        <v>20837.11</v>
      </c>
      <c r="L109" s="297">
        <f t="shared" si="40"/>
        <v>13205.5</v>
      </c>
      <c r="M109" s="297">
        <f t="shared" si="40"/>
        <v>21658</v>
      </c>
      <c r="N109" s="297">
        <f t="shared" si="40"/>
        <v>18661.2</v>
      </c>
      <c r="O109" s="297">
        <f t="shared" si="40"/>
        <v>19180.8</v>
      </c>
      <c r="P109" s="297">
        <f t="shared" si="28"/>
        <v>203080.81</v>
      </c>
      <c r="Q109" s="30"/>
    </row>
    <row r="110" spans="2:17" customFormat="1" x14ac:dyDescent="0.25">
      <c r="B110" s="408" t="s">
        <v>80</v>
      </c>
      <c r="C110" s="408"/>
      <c r="D110" s="298">
        <f>SUM(D104:D109)</f>
        <v>457401.55</v>
      </c>
      <c r="E110" s="298">
        <f t="shared" ref="E110" si="41">SUM(E104:E109)</f>
        <v>431174.69</v>
      </c>
      <c r="F110" s="298">
        <f t="shared" ref="F110" si="42">SUM(F104:F109)</f>
        <v>569348.4800000001</v>
      </c>
      <c r="G110" s="298">
        <f t="shared" ref="G110" si="43">SUM(G104:G109)</f>
        <v>569536.75</v>
      </c>
      <c r="H110" s="298">
        <f t="shared" ref="H110" si="44">SUM(H104:H109)</f>
        <v>575942.60999999987</v>
      </c>
      <c r="I110" s="298">
        <f t="shared" ref="I110" si="45">SUM(I104:I109)</f>
        <v>558917.65</v>
      </c>
      <c r="J110" s="298">
        <f t="shared" ref="J110" si="46">SUM(J104:J109)</f>
        <v>580500</v>
      </c>
      <c r="K110" s="298">
        <f t="shared" ref="K110" si="47">SUM(K104:K109)</f>
        <v>626976.22</v>
      </c>
      <c r="L110" s="298">
        <f t="shared" ref="L110" si="48">SUM(L104:L109)</f>
        <v>638700.44999999995</v>
      </c>
      <c r="M110" s="298">
        <f t="shared" ref="M110:O110" si="49">SUM(M104:M109)</f>
        <v>715136.52</v>
      </c>
      <c r="N110" s="298">
        <f t="shared" si="49"/>
        <v>700719.72</v>
      </c>
      <c r="O110" s="298">
        <f t="shared" si="49"/>
        <v>723445.88000000012</v>
      </c>
      <c r="P110" s="298">
        <f>SUM(D110:O110)</f>
        <v>7147800.5199999996</v>
      </c>
      <c r="Q110" s="30"/>
    </row>
    <row r="111" spans="2:17" customFormat="1" x14ac:dyDescent="0.25">
      <c r="B111" s="411" t="s">
        <v>48</v>
      </c>
      <c r="C111" s="296" t="s">
        <v>82</v>
      </c>
      <c r="D111" s="297">
        <f t="shared" ref="D111:O111" si="50">+D32+D73</f>
        <v>80907.09</v>
      </c>
      <c r="E111" s="297">
        <f t="shared" si="50"/>
        <v>83577.13</v>
      </c>
      <c r="F111" s="297">
        <f t="shared" si="50"/>
        <v>80821.399999999994</v>
      </c>
      <c r="G111" s="297">
        <f t="shared" si="50"/>
        <v>80366.95</v>
      </c>
      <c r="H111" s="297">
        <f t="shared" si="50"/>
        <v>80813.86</v>
      </c>
      <c r="I111" s="297">
        <f t="shared" si="50"/>
        <v>81482</v>
      </c>
      <c r="J111" s="297">
        <f t="shared" si="50"/>
        <v>80031.399999999994</v>
      </c>
      <c r="K111" s="297">
        <f t="shared" si="50"/>
        <v>79078.100000000006</v>
      </c>
      <c r="L111" s="297">
        <f t="shared" si="50"/>
        <v>78418.010000000009</v>
      </c>
      <c r="M111" s="297">
        <f t="shared" si="50"/>
        <v>79133.649999999994</v>
      </c>
      <c r="N111" s="297">
        <f t="shared" si="50"/>
        <v>81759.61</v>
      </c>
      <c r="O111" s="297">
        <f t="shared" si="50"/>
        <v>81074.899999999994</v>
      </c>
      <c r="P111" s="297">
        <f>SUM(D111:O111)</f>
        <v>967464.1</v>
      </c>
      <c r="Q111" s="30"/>
    </row>
    <row r="112" spans="2:17" customFormat="1" x14ac:dyDescent="0.25">
      <c r="B112" s="411"/>
      <c r="C112" s="296" t="s">
        <v>83</v>
      </c>
      <c r="D112" s="297">
        <f t="shared" ref="D112:O112" si="51">+D33+D74</f>
        <v>89145.82</v>
      </c>
      <c r="E112" s="297">
        <f t="shared" si="51"/>
        <v>88779.010000000009</v>
      </c>
      <c r="F112" s="297">
        <f t="shared" si="51"/>
        <v>88305.07</v>
      </c>
      <c r="G112" s="297">
        <f t="shared" si="51"/>
        <v>90331.199999999997</v>
      </c>
      <c r="H112" s="297">
        <f t="shared" si="51"/>
        <v>88768.39</v>
      </c>
      <c r="I112" s="297">
        <f t="shared" si="51"/>
        <v>91611.19</v>
      </c>
      <c r="J112" s="297">
        <f t="shared" si="51"/>
        <v>89860.45</v>
      </c>
      <c r="K112" s="297">
        <f t="shared" si="51"/>
        <v>90935.26999999999</v>
      </c>
      <c r="L112" s="297">
        <f t="shared" si="51"/>
        <v>91274.5</v>
      </c>
      <c r="M112" s="297">
        <f t="shared" si="51"/>
        <v>89672.4</v>
      </c>
      <c r="N112" s="297">
        <f t="shared" si="51"/>
        <v>90244.790000000008</v>
      </c>
      <c r="O112" s="297">
        <f t="shared" si="51"/>
        <v>90769.34</v>
      </c>
      <c r="P112" s="297">
        <f t="shared" si="28"/>
        <v>1079697.4300000002</v>
      </c>
      <c r="Q112" s="30"/>
    </row>
    <row r="113" spans="2:18" customFormat="1" x14ac:dyDescent="0.25">
      <c r="B113" s="411"/>
      <c r="C113" s="296" t="s">
        <v>84</v>
      </c>
      <c r="D113" s="297">
        <f t="shared" ref="D113:O113" si="52">+D34+D75</f>
        <v>93099.199999999997</v>
      </c>
      <c r="E113" s="297">
        <f t="shared" si="52"/>
        <v>92943.59</v>
      </c>
      <c r="F113" s="297">
        <f t="shared" si="52"/>
        <v>95282.59</v>
      </c>
      <c r="G113" s="297">
        <f t="shared" si="52"/>
        <v>93813.15</v>
      </c>
      <c r="H113" s="297">
        <f t="shared" si="52"/>
        <v>93633.93</v>
      </c>
      <c r="I113" s="297">
        <f t="shared" si="52"/>
        <v>92168.75</v>
      </c>
      <c r="J113" s="297">
        <f t="shared" si="52"/>
        <v>93518.69</v>
      </c>
      <c r="K113" s="297">
        <f t="shared" si="52"/>
        <v>93500.95</v>
      </c>
      <c r="L113" s="297">
        <f t="shared" si="52"/>
        <v>92458</v>
      </c>
      <c r="M113" s="297">
        <f t="shared" si="52"/>
        <v>94174.080000000002</v>
      </c>
      <c r="N113" s="297">
        <f t="shared" si="52"/>
        <v>91836.459999999992</v>
      </c>
      <c r="O113" s="297">
        <f t="shared" si="52"/>
        <v>89149.36</v>
      </c>
      <c r="P113" s="297">
        <f t="shared" si="28"/>
        <v>1115578.7499999998</v>
      </c>
      <c r="Q113" s="30"/>
    </row>
    <row r="114" spans="2:18" customFormat="1" x14ac:dyDescent="0.25">
      <c r="B114" s="411"/>
      <c r="C114" s="296" t="s">
        <v>85</v>
      </c>
      <c r="D114" s="297">
        <f t="shared" ref="D114:O114" si="53">+D35+D76</f>
        <v>451308.62</v>
      </c>
      <c r="E114" s="297">
        <f t="shared" si="53"/>
        <v>439602.68</v>
      </c>
      <c r="F114" s="297">
        <f t="shared" si="53"/>
        <v>465800.95999999996</v>
      </c>
      <c r="G114" s="297">
        <f t="shared" si="53"/>
        <v>470959.82</v>
      </c>
      <c r="H114" s="297">
        <f t="shared" si="53"/>
        <v>476179.77</v>
      </c>
      <c r="I114" s="297">
        <f t="shared" si="53"/>
        <v>472482.43</v>
      </c>
      <c r="J114" s="297">
        <f t="shared" si="53"/>
        <v>486117.33999999997</v>
      </c>
      <c r="K114" s="297">
        <f t="shared" si="53"/>
        <v>498853.77</v>
      </c>
      <c r="L114" s="297">
        <f t="shared" si="53"/>
        <v>502433.4</v>
      </c>
      <c r="M114" s="297">
        <f t="shared" si="53"/>
        <v>509125.2</v>
      </c>
      <c r="N114" s="297">
        <f t="shared" si="53"/>
        <v>478671.41000000003</v>
      </c>
      <c r="O114" s="297">
        <f t="shared" si="53"/>
        <v>482109.5</v>
      </c>
      <c r="P114" s="297">
        <f t="shared" si="28"/>
        <v>5733644.9000000004</v>
      </c>
      <c r="Q114" s="30"/>
    </row>
    <row r="115" spans="2:18" customFormat="1" x14ac:dyDescent="0.25">
      <c r="B115" s="411"/>
      <c r="C115" s="296" t="s">
        <v>86</v>
      </c>
      <c r="D115" s="297">
        <f t="shared" ref="D115:O115" si="54">+D36+D77</f>
        <v>1306819.1099999999</v>
      </c>
      <c r="E115" s="297">
        <f t="shared" si="54"/>
        <v>1257097.76</v>
      </c>
      <c r="F115" s="297">
        <f t="shared" si="54"/>
        <v>1398830.05</v>
      </c>
      <c r="G115" s="297">
        <f t="shared" si="54"/>
        <v>1459869.58</v>
      </c>
      <c r="H115" s="297">
        <f t="shared" si="54"/>
        <v>1583823.9100000001</v>
      </c>
      <c r="I115" s="297">
        <f t="shared" si="54"/>
        <v>1575679.37</v>
      </c>
      <c r="J115" s="297">
        <f t="shared" si="54"/>
        <v>1589471.06</v>
      </c>
      <c r="K115" s="297">
        <f t="shared" si="54"/>
        <v>1670681.22</v>
      </c>
      <c r="L115" s="297">
        <f t="shared" si="54"/>
        <v>1699635.5699999998</v>
      </c>
      <c r="M115" s="297">
        <f t="shared" si="54"/>
        <v>1636639.25</v>
      </c>
      <c r="N115" s="297">
        <f t="shared" si="54"/>
        <v>1566862.69</v>
      </c>
      <c r="O115" s="297">
        <f t="shared" si="54"/>
        <v>1533967.73</v>
      </c>
      <c r="P115" s="297">
        <f t="shared" si="28"/>
        <v>18279377.300000001</v>
      </c>
      <c r="Q115" s="30"/>
    </row>
    <row r="116" spans="2:18" customFormat="1" x14ac:dyDescent="0.25">
      <c r="B116" s="408" t="s">
        <v>80</v>
      </c>
      <c r="C116" s="408"/>
      <c r="D116" s="298">
        <f>SUM(D111:D115)</f>
        <v>2021279.8399999999</v>
      </c>
      <c r="E116" s="298">
        <f t="shared" ref="E116:O116" si="55">SUM(E111:E115)</f>
        <v>1962000.17</v>
      </c>
      <c r="F116" s="298">
        <f t="shared" si="55"/>
        <v>2129040.0700000003</v>
      </c>
      <c r="G116" s="298">
        <f t="shared" si="55"/>
        <v>2195340.7000000002</v>
      </c>
      <c r="H116" s="298">
        <f t="shared" si="55"/>
        <v>2323219.8600000003</v>
      </c>
      <c r="I116" s="298">
        <f t="shared" si="55"/>
        <v>2313423.7400000002</v>
      </c>
      <c r="J116" s="298">
        <f t="shared" si="55"/>
        <v>2338998.94</v>
      </c>
      <c r="K116" s="298">
        <f t="shared" si="55"/>
        <v>2433049.31</v>
      </c>
      <c r="L116" s="298">
        <f t="shared" si="55"/>
        <v>2464219.48</v>
      </c>
      <c r="M116" s="298">
        <f t="shared" si="55"/>
        <v>2408744.58</v>
      </c>
      <c r="N116" s="298">
        <f t="shared" si="55"/>
        <v>2309374.96</v>
      </c>
      <c r="O116" s="298">
        <f t="shared" si="55"/>
        <v>2277070.83</v>
      </c>
      <c r="P116" s="298">
        <f>SUM(D116:O116)</f>
        <v>27175762.479999997</v>
      </c>
      <c r="Q116" s="30"/>
    </row>
    <row r="117" spans="2:18" customFormat="1" x14ac:dyDescent="0.25">
      <c r="B117" s="411" t="s">
        <v>49</v>
      </c>
      <c r="C117" s="296" t="s">
        <v>82</v>
      </c>
      <c r="D117" s="297">
        <f t="shared" ref="D117:O117" si="56">+D38+D79</f>
        <v>685.7</v>
      </c>
      <c r="E117" s="297">
        <f t="shared" si="56"/>
        <v>678.4</v>
      </c>
      <c r="F117" s="297">
        <f t="shared" si="56"/>
        <v>691.7</v>
      </c>
      <c r="G117" s="297">
        <f t="shared" si="56"/>
        <v>629.6</v>
      </c>
      <c r="H117" s="297">
        <f t="shared" si="56"/>
        <v>662.1</v>
      </c>
      <c r="I117" s="297">
        <f t="shared" si="56"/>
        <v>716.6</v>
      </c>
      <c r="J117" s="297">
        <f t="shared" si="56"/>
        <v>643.70000000000005</v>
      </c>
      <c r="K117" s="297">
        <f t="shared" si="56"/>
        <v>639.79999999999995</v>
      </c>
      <c r="L117" s="297">
        <f t="shared" si="56"/>
        <v>649.29999999999995</v>
      </c>
      <c r="M117" s="297">
        <f t="shared" si="56"/>
        <v>623.1</v>
      </c>
      <c r="N117" s="297">
        <f t="shared" si="56"/>
        <v>709.6</v>
      </c>
      <c r="O117" s="297">
        <f t="shared" si="56"/>
        <v>769</v>
      </c>
      <c r="P117" s="297">
        <f>SUM(D117:O117)</f>
        <v>8098.6000000000013</v>
      </c>
      <c r="Q117" s="30"/>
    </row>
    <row r="118" spans="2:18" x14ac:dyDescent="0.25">
      <c r="B118" s="411"/>
      <c r="C118" s="296" t="s">
        <v>83</v>
      </c>
      <c r="D118" s="297">
        <f t="shared" ref="D118:O118" si="57">+D39+D80</f>
        <v>1006.5</v>
      </c>
      <c r="E118" s="297">
        <f t="shared" si="57"/>
        <v>1191.6100000000001</v>
      </c>
      <c r="F118" s="297">
        <f t="shared" si="57"/>
        <v>991.9</v>
      </c>
      <c r="G118" s="297">
        <f t="shared" si="57"/>
        <v>1087.51</v>
      </c>
      <c r="H118" s="297">
        <f t="shared" si="57"/>
        <v>1048.1100000000001</v>
      </c>
      <c r="I118" s="297">
        <f t="shared" si="57"/>
        <v>1018.26</v>
      </c>
      <c r="J118" s="297">
        <f t="shared" si="57"/>
        <v>994.8</v>
      </c>
      <c r="K118" s="297">
        <f t="shared" si="57"/>
        <v>1018.6</v>
      </c>
      <c r="L118" s="297">
        <f t="shared" si="57"/>
        <v>872.2</v>
      </c>
      <c r="M118" s="297">
        <f t="shared" si="57"/>
        <v>973.5</v>
      </c>
      <c r="N118" s="297">
        <f t="shared" si="57"/>
        <v>1132.8</v>
      </c>
      <c r="O118" s="297">
        <f t="shared" si="57"/>
        <v>1077.7</v>
      </c>
      <c r="P118" s="297">
        <f t="shared" si="28"/>
        <v>12413.490000000002</v>
      </c>
    </row>
    <row r="119" spans="2:18" x14ac:dyDescent="0.25">
      <c r="B119" s="411"/>
      <c r="C119" s="296" t="s">
        <v>84</v>
      </c>
      <c r="D119" s="297">
        <f t="shared" ref="D119:O119" si="58">+D40+D81</f>
        <v>1443.8</v>
      </c>
      <c r="E119" s="297">
        <f t="shared" si="58"/>
        <v>1628.7</v>
      </c>
      <c r="F119" s="297">
        <f t="shared" si="58"/>
        <v>1418.8</v>
      </c>
      <c r="G119" s="297">
        <f t="shared" si="58"/>
        <v>1603.6</v>
      </c>
      <c r="H119" s="297">
        <f t="shared" si="58"/>
        <v>1246.4000000000001</v>
      </c>
      <c r="I119" s="297">
        <f t="shared" si="58"/>
        <v>1339.7</v>
      </c>
      <c r="J119" s="297">
        <f t="shared" si="58"/>
        <v>1227.5</v>
      </c>
      <c r="K119" s="297">
        <f t="shared" si="58"/>
        <v>1212.55</v>
      </c>
      <c r="L119" s="297">
        <f t="shared" si="58"/>
        <v>1351.95</v>
      </c>
      <c r="M119" s="297">
        <f t="shared" si="58"/>
        <v>1484.52</v>
      </c>
      <c r="N119" s="297">
        <f t="shared" si="58"/>
        <v>1368</v>
      </c>
      <c r="O119" s="297">
        <f t="shared" si="58"/>
        <v>1396.5</v>
      </c>
      <c r="P119" s="297">
        <f t="shared" si="28"/>
        <v>16722.02</v>
      </c>
    </row>
    <row r="120" spans="2:18" x14ac:dyDescent="0.25">
      <c r="B120" s="411"/>
      <c r="C120" s="296" t="s">
        <v>85</v>
      </c>
      <c r="D120" s="297">
        <f t="shared" ref="D120:O120" si="59">+D41+D82</f>
        <v>12889.48</v>
      </c>
      <c r="E120" s="297">
        <f t="shared" si="59"/>
        <v>11245.2</v>
      </c>
      <c r="F120" s="297">
        <f t="shared" si="59"/>
        <v>12451.369999999999</v>
      </c>
      <c r="G120" s="297">
        <f t="shared" si="59"/>
        <v>12201.9</v>
      </c>
      <c r="H120" s="297">
        <f t="shared" si="59"/>
        <v>12270.16</v>
      </c>
      <c r="I120" s="297">
        <f t="shared" si="59"/>
        <v>11963.4</v>
      </c>
      <c r="J120" s="297">
        <f t="shared" si="59"/>
        <v>12944.92</v>
      </c>
      <c r="K120" s="297">
        <f t="shared" si="59"/>
        <v>13024.529999999999</v>
      </c>
      <c r="L120" s="297">
        <f t="shared" si="59"/>
        <v>13928.64</v>
      </c>
      <c r="M120" s="297">
        <f t="shared" si="59"/>
        <v>13320.24</v>
      </c>
      <c r="N120" s="297">
        <f t="shared" si="59"/>
        <v>13771.630000000001</v>
      </c>
      <c r="O120" s="297">
        <f t="shared" si="59"/>
        <v>12969.35</v>
      </c>
      <c r="P120" s="297">
        <f t="shared" si="28"/>
        <v>152980.82</v>
      </c>
    </row>
    <row r="121" spans="2:18" x14ac:dyDescent="0.25">
      <c r="B121" s="411"/>
      <c r="C121" s="296" t="s">
        <v>86</v>
      </c>
      <c r="D121" s="297">
        <f t="shared" ref="D121:O121" si="60">+D42+D83</f>
        <v>71846.399999999994</v>
      </c>
      <c r="E121" s="297">
        <f t="shared" si="60"/>
        <v>64802.89</v>
      </c>
      <c r="F121" s="297">
        <f t="shared" si="60"/>
        <v>68227.13</v>
      </c>
      <c r="G121" s="297">
        <f t="shared" si="60"/>
        <v>74034.25</v>
      </c>
      <c r="H121" s="297">
        <f t="shared" si="60"/>
        <v>78404.95</v>
      </c>
      <c r="I121" s="297">
        <f t="shared" si="60"/>
        <v>76262.320000000007</v>
      </c>
      <c r="J121" s="297">
        <f t="shared" si="60"/>
        <v>84174.51999999999</v>
      </c>
      <c r="K121" s="297">
        <f t="shared" si="60"/>
        <v>91040.5</v>
      </c>
      <c r="L121" s="297">
        <f t="shared" si="60"/>
        <v>92992.22</v>
      </c>
      <c r="M121" s="297">
        <f t="shared" si="60"/>
        <v>95523.75</v>
      </c>
      <c r="N121" s="297">
        <f t="shared" si="60"/>
        <v>84690.28</v>
      </c>
      <c r="O121" s="297">
        <f t="shared" si="60"/>
        <v>79960.679999999993</v>
      </c>
      <c r="P121" s="297">
        <f t="shared" si="28"/>
        <v>961959.8899999999</v>
      </c>
    </row>
    <row r="122" spans="2:18" x14ac:dyDescent="0.25">
      <c r="B122" s="408" t="s">
        <v>80</v>
      </c>
      <c r="C122" s="408"/>
      <c r="D122" s="298">
        <f>SUM(D117:D121)</f>
        <v>87871.87999999999</v>
      </c>
      <c r="E122" s="298">
        <f t="shared" ref="E122:O122" si="61">SUM(E117:E121)</f>
        <v>79546.8</v>
      </c>
      <c r="F122" s="298">
        <f t="shared" si="61"/>
        <v>83780.900000000009</v>
      </c>
      <c r="G122" s="298">
        <f t="shared" si="61"/>
        <v>89556.86</v>
      </c>
      <c r="H122" s="298">
        <f t="shared" si="61"/>
        <v>93631.72</v>
      </c>
      <c r="I122" s="298">
        <f t="shared" si="61"/>
        <v>91300.28</v>
      </c>
      <c r="J122" s="298">
        <f t="shared" si="61"/>
        <v>99985.439999999988</v>
      </c>
      <c r="K122" s="298">
        <f t="shared" si="61"/>
        <v>106935.98</v>
      </c>
      <c r="L122" s="298">
        <f t="shared" si="61"/>
        <v>109794.31</v>
      </c>
      <c r="M122" s="298">
        <f t="shared" si="61"/>
        <v>111925.11</v>
      </c>
      <c r="N122" s="298">
        <f t="shared" si="61"/>
        <v>101672.31</v>
      </c>
      <c r="O122" s="298">
        <f t="shared" si="61"/>
        <v>96173.23</v>
      </c>
      <c r="P122" s="298">
        <f>SUM(D122:O122)</f>
        <v>1152174.8199999998</v>
      </c>
    </row>
    <row r="123" spans="2:18" x14ac:dyDescent="0.25">
      <c r="B123" s="411" t="s">
        <v>87</v>
      </c>
      <c r="C123" s="296" t="s">
        <v>82</v>
      </c>
      <c r="D123" s="297">
        <f t="shared" ref="D123:O123" si="62">+D44+D85</f>
        <v>912.4</v>
      </c>
      <c r="E123" s="297">
        <f t="shared" si="62"/>
        <v>995.8</v>
      </c>
      <c r="F123" s="297">
        <f t="shared" si="62"/>
        <v>917.6</v>
      </c>
      <c r="G123" s="297">
        <f t="shared" si="62"/>
        <v>928.2</v>
      </c>
      <c r="H123" s="297">
        <f t="shared" si="62"/>
        <v>815.6</v>
      </c>
      <c r="I123" s="297">
        <f t="shared" si="62"/>
        <v>790</v>
      </c>
      <c r="J123" s="297">
        <f t="shared" si="62"/>
        <v>741.8</v>
      </c>
      <c r="K123" s="297">
        <f t="shared" si="62"/>
        <v>841.6</v>
      </c>
      <c r="L123" s="297">
        <f t="shared" si="62"/>
        <v>782</v>
      </c>
      <c r="M123" s="297">
        <f t="shared" si="62"/>
        <v>794.4</v>
      </c>
      <c r="N123" s="297">
        <f t="shared" si="62"/>
        <v>779.2</v>
      </c>
      <c r="O123" s="297">
        <f t="shared" si="62"/>
        <v>772.8</v>
      </c>
      <c r="P123" s="297">
        <f t="shared" si="28"/>
        <v>10071.400000000001</v>
      </c>
    </row>
    <row r="124" spans="2:18" x14ac:dyDescent="0.25">
      <c r="B124" s="411"/>
      <c r="C124" s="296" t="s">
        <v>83</v>
      </c>
      <c r="D124" s="297">
        <f t="shared" ref="D124:O124" si="63">+D45+D86</f>
        <v>1287.8</v>
      </c>
      <c r="E124" s="297">
        <f t="shared" si="63"/>
        <v>1457</v>
      </c>
      <c r="F124" s="297">
        <f t="shared" si="63"/>
        <v>1525.2</v>
      </c>
      <c r="G124" s="297">
        <f t="shared" si="63"/>
        <v>1307.4000000000001</v>
      </c>
      <c r="H124" s="297">
        <f t="shared" si="63"/>
        <v>1115.4000000000001</v>
      </c>
      <c r="I124" s="297">
        <f t="shared" si="63"/>
        <v>1211</v>
      </c>
      <c r="J124" s="297">
        <f t="shared" si="63"/>
        <v>1023</v>
      </c>
      <c r="K124" s="297">
        <f t="shared" si="63"/>
        <v>1033.5999999999999</v>
      </c>
      <c r="L124" s="297">
        <f t="shared" si="63"/>
        <v>985</v>
      </c>
      <c r="M124" s="297">
        <f t="shared" si="63"/>
        <v>878</v>
      </c>
      <c r="N124" s="297">
        <f t="shared" si="63"/>
        <v>950</v>
      </c>
      <c r="O124" s="297">
        <f t="shared" si="63"/>
        <v>1453.2</v>
      </c>
      <c r="P124" s="297">
        <f t="shared" si="28"/>
        <v>14226.6</v>
      </c>
    </row>
    <row r="125" spans="2:18" x14ac:dyDescent="0.25">
      <c r="B125" s="411"/>
      <c r="C125" s="296" t="s">
        <v>84</v>
      </c>
      <c r="D125" s="297">
        <f t="shared" ref="D125:O125" si="64">+D46+D87</f>
        <v>2030.6</v>
      </c>
      <c r="E125" s="297">
        <f t="shared" si="64"/>
        <v>2059</v>
      </c>
      <c r="F125" s="297">
        <f t="shared" si="64"/>
        <v>1839.4</v>
      </c>
      <c r="G125" s="297">
        <f t="shared" si="64"/>
        <v>1548</v>
      </c>
      <c r="H125" s="297">
        <f t="shared" si="64"/>
        <v>1816.8</v>
      </c>
      <c r="I125" s="297">
        <f t="shared" si="64"/>
        <v>1651.8</v>
      </c>
      <c r="J125" s="297">
        <f t="shared" si="64"/>
        <v>1760</v>
      </c>
      <c r="K125" s="297">
        <f t="shared" si="64"/>
        <v>1402</v>
      </c>
      <c r="L125" s="297">
        <f t="shared" si="64"/>
        <v>1242.4000000000001</v>
      </c>
      <c r="M125" s="297">
        <f t="shared" si="64"/>
        <v>1600</v>
      </c>
      <c r="N125" s="297">
        <f t="shared" si="64"/>
        <v>1642</v>
      </c>
      <c r="O125" s="297">
        <f t="shared" si="64"/>
        <v>1633</v>
      </c>
      <c r="P125" s="297">
        <f t="shared" si="28"/>
        <v>20225</v>
      </c>
    </row>
    <row r="126" spans="2:18" x14ac:dyDescent="0.25">
      <c r="B126" s="411"/>
      <c r="C126" s="296" t="s">
        <v>85</v>
      </c>
      <c r="D126" s="297">
        <f t="shared" ref="D126:O126" si="65">+D47+D88</f>
        <v>25627.8</v>
      </c>
      <c r="E126" s="297">
        <f t="shared" si="65"/>
        <v>31808</v>
      </c>
      <c r="F126" s="297">
        <f t="shared" si="65"/>
        <v>24942</v>
      </c>
      <c r="G126" s="297">
        <f t="shared" si="65"/>
        <v>25172</v>
      </c>
      <c r="H126" s="297">
        <f t="shared" si="65"/>
        <v>26690.400000000001</v>
      </c>
      <c r="I126" s="297">
        <f t="shared" si="65"/>
        <v>22646.6</v>
      </c>
      <c r="J126" s="297">
        <f t="shared" si="65"/>
        <v>23489</v>
      </c>
      <c r="K126" s="297">
        <f t="shared" si="65"/>
        <v>23648.400000000001</v>
      </c>
      <c r="L126" s="297">
        <f t="shared" si="65"/>
        <v>22098.2</v>
      </c>
      <c r="M126" s="297">
        <f t="shared" si="65"/>
        <v>21991</v>
      </c>
      <c r="N126" s="297">
        <f t="shared" si="65"/>
        <v>24146.6</v>
      </c>
      <c r="O126" s="297">
        <f t="shared" si="65"/>
        <v>25363.4</v>
      </c>
      <c r="P126" s="297">
        <f t="shared" si="28"/>
        <v>297623.40000000002</v>
      </c>
    </row>
    <row r="127" spans="2:18" x14ac:dyDescent="0.25">
      <c r="B127" s="411"/>
      <c r="C127" s="296" t="s">
        <v>86</v>
      </c>
      <c r="D127" s="297">
        <f t="shared" ref="D127:O127" si="66">+D48+D89</f>
        <v>1354483.15</v>
      </c>
      <c r="E127" s="297">
        <f t="shared" si="66"/>
        <v>1225432.5699999998</v>
      </c>
      <c r="F127" s="297">
        <f t="shared" si="66"/>
        <v>1288888.48</v>
      </c>
      <c r="G127" s="297">
        <f t="shared" si="66"/>
        <v>1504374.97</v>
      </c>
      <c r="H127" s="297">
        <f t="shared" si="66"/>
        <v>1546343.62</v>
      </c>
      <c r="I127" s="297">
        <f t="shared" si="66"/>
        <v>1565217.71</v>
      </c>
      <c r="J127" s="297">
        <f t="shared" si="66"/>
        <v>1536793.75</v>
      </c>
      <c r="K127" s="297">
        <f t="shared" si="66"/>
        <v>1596525.27</v>
      </c>
      <c r="L127" s="297">
        <f t="shared" si="66"/>
        <v>1715561.38</v>
      </c>
      <c r="M127" s="297">
        <f t="shared" si="66"/>
        <v>1707627.8</v>
      </c>
      <c r="N127" s="297">
        <f t="shared" si="66"/>
        <v>1616499.94</v>
      </c>
      <c r="O127" s="297">
        <f t="shared" si="66"/>
        <v>1463740.13</v>
      </c>
      <c r="P127" s="297">
        <f t="shared" si="28"/>
        <v>18121488.77</v>
      </c>
      <c r="R127" s="103"/>
    </row>
    <row r="128" spans="2:18" x14ac:dyDescent="0.25">
      <c r="B128" s="408" t="s">
        <v>80</v>
      </c>
      <c r="C128" s="408"/>
      <c r="D128" s="298">
        <f>SUM(D123:D127)</f>
        <v>1384341.75</v>
      </c>
      <c r="E128" s="298">
        <f t="shared" ref="E128:L128" si="67">SUM(E123:E127)</f>
        <v>1261752.3699999999</v>
      </c>
      <c r="F128" s="298">
        <f t="shared" si="67"/>
        <v>1318112.68</v>
      </c>
      <c r="G128" s="298">
        <f t="shared" si="67"/>
        <v>1533330.57</v>
      </c>
      <c r="H128" s="298">
        <f t="shared" si="67"/>
        <v>1576781.82</v>
      </c>
      <c r="I128" s="298">
        <f t="shared" si="67"/>
        <v>1591517.1099999999</v>
      </c>
      <c r="J128" s="298">
        <f t="shared" si="67"/>
        <v>1563807.55</v>
      </c>
      <c r="K128" s="298">
        <f t="shared" si="67"/>
        <v>1623450.87</v>
      </c>
      <c r="L128" s="298">
        <f t="shared" si="67"/>
        <v>1740668.98</v>
      </c>
      <c r="M128" s="298">
        <f>SUM(M123:M127)</f>
        <v>1732891.2</v>
      </c>
      <c r="N128" s="298">
        <f>SUM(N123:N127)</f>
        <v>1644017.74</v>
      </c>
      <c r="O128" s="298">
        <f>SUM(O123:O127)</f>
        <v>1492962.5299999998</v>
      </c>
      <c r="P128" s="298">
        <f>SUM(D128:O128)</f>
        <v>18463635.170000002</v>
      </c>
      <c r="R128" s="103"/>
    </row>
    <row r="129" spans="2:18" x14ac:dyDescent="0.25">
      <c r="B129" s="408" t="s">
        <v>88</v>
      </c>
      <c r="C129" s="408"/>
      <c r="D129" s="298">
        <f>D103+D110+D116+D122+D128</f>
        <v>23652212.309999999</v>
      </c>
      <c r="E129" s="298">
        <f t="shared" ref="E129:L129" si="68">E103+E110+E116+E122+E128</f>
        <v>22540162.770000003</v>
      </c>
      <c r="F129" s="298">
        <f t="shared" si="68"/>
        <v>24404293.229999997</v>
      </c>
      <c r="G129" s="298">
        <f t="shared" si="68"/>
        <v>24535857.469999999</v>
      </c>
      <c r="H129" s="298">
        <f t="shared" si="68"/>
        <v>25237379.329999998</v>
      </c>
      <c r="I129" s="298">
        <f t="shared" si="68"/>
        <v>24684691.309999995</v>
      </c>
      <c r="J129" s="298">
        <f t="shared" si="68"/>
        <v>25192204.030000005</v>
      </c>
      <c r="K129" s="298">
        <f>K103+K110+K116+K122+K128</f>
        <v>25764574.529999997</v>
      </c>
      <c r="L129" s="298">
        <f t="shared" si="68"/>
        <v>26269897.630000003</v>
      </c>
      <c r="M129" s="298">
        <f>M103+M110+M116+M122+M128</f>
        <v>26115704.059999999</v>
      </c>
      <c r="N129" s="298">
        <f>N103+N110+N116+N122+N128</f>
        <v>25032425.449999996</v>
      </c>
      <c r="O129" s="298">
        <f>O103+O110+O116+O122+O128</f>
        <v>24737313.360000003</v>
      </c>
      <c r="P129" s="298">
        <f>SUM(D129:O129)</f>
        <v>298166715.48000002</v>
      </c>
    </row>
    <row r="130" spans="2:18" x14ac:dyDescent="0.25">
      <c r="B130" s="408" t="s">
        <v>92</v>
      </c>
      <c r="C130" s="408"/>
      <c r="D130" s="298">
        <f t="shared" ref="D130:O130" si="69">+D92+D54</f>
        <v>23706565.310000002</v>
      </c>
      <c r="E130" s="298">
        <f t="shared" si="69"/>
        <v>22601386.77</v>
      </c>
      <c r="F130" s="298">
        <f t="shared" si="69"/>
        <v>25696733.23</v>
      </c>
      <c r="G130" s="298">
        <f t="shared" si="69"/>
        <v>24637123.469999999</v>
      </c>
      <c r="H130" s="298">
        <f t="shared" si="69"/>
        <v>25322120.329999998</v>
      </c>
      <c r="I130" s="298">
        <f t="shared" si="69"/>
        <v>24768788.309999999</v>
      </c>
      <c r="J130" s="298">
        <f t="shared" si="69"/>
        <v>25267846.030000001</v>
      </c>
      <c r="K130" s="298">
        <f t="shared" si="69"/>
        <v>25831818.530000001</v>
      </c>
      <c r="L130" s="298">
        <f t="shared" si="69"/>
        <v>26375025.630000003</v>
      </c>
      <c r="M130" s="298">
        <f t="shared" si="69"/>
        <v>26255471.059999999</v>
      </c>
      <c r="N130" s="298">
        <f t="shared" si="69"/>
        <v>25174216.450000003</v>
      </c>
      <c r="O130" s="298">
        <f t="shared" si="69"/>
        <v>24838436.359999999</v>
      </c>
      <c r="P130" s="298">
        <f>SUM(D130:O130)</f>
        <v>300475531.48000002</v>
      </c>
    </row>
    <row r="131" spans="2:18" x14ac:dyDescent="0.25">
      <c r="B131" s="106" t="s">
        <v>30</v>
      </c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03"/>
      <c r="R131" s="103"/>
    </row>
    <row r="132" spans="2:18" x14ac:dyDescent="0.25"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103"/>
    </row>
    <row r="135" spans="2:18" hidden="1" x14ac:dyDescent="0.25">
      <c r="D135" s="97"/>
      <c r="E135" s="97"/>
      <c r="F135" s="97"/>
      <c r="G135" s="97"/>
      <c r="H135" s="97"/>
      <c r="I135" s="97"/>
      <c r="J135" s="97"/>
      <c r="K135" s="97"/>
      <c r="L135" s="97"/>
      <c r="M135" s="97"/>
    </row>
  </sheetData>
  <mergeCells count="45">
    <mergeCell ref="B128:C128"/>
    <mergeCell ref="B129:C129"/>
    <mergeCell ref="B130:C130"/>
    <mergeCell ref="B111:B115"/>
    <mergeCell ref="B116:C116"/>
    <mergeCell ref="B117:B121"/>
    <mergeCell ref="B122:C122"/>
    <mergeCell ref="B123:B127"/>
    <mergeCell ref="B95:P95"/>
    <mergeCell ref="B97:B102"/>
    <mergeCell ref="B103:C103"/>
    <mergeCell ref="B104:B109"/>
    <mergeCell ref="B110:C110"/>
    <mergeCell ref="B84:C84"/>
    <mergeCell ref="B85:B89"/>
    <mergeCell ref="B91:C91"/>
    <mergeCell ref="B92:C92"/>
    <mergeCell ref="B66:B71"/>
    <mergeCell ref="B72:C72"/>
    <mergeCell ref="B73:B77"/>
    <mergeCell ref="B78:C78"/>
    <mergeCell ref="B79:B83"/>
    <mergeCell ref="B16:P16"/>
    <mergeCell ref="B18:B23"/>
    <mergeCell ref="B24:C24"/>
    <mergeCell ref="B25:B30"/>
    <mergeCell ref="B31:C31"/>
    <mergeCell ref="B17:C17"/>
    <mergeCell ref="B8:P8"/>
    <mergeCell ref="B9:C9"/>
    <mergeCell ref="B10:C10"/>
    <mergeCell ref="B11:C11"/>
    <mergeCell ref="B12:C12"/>
    <mergeCell ref="B54:C54"/>
    <mergeCell ref="B57:P57"/>
    <mergeCell ref="B59:B64"/>
    <mergeCell ref="B65:C65"/>
    <mergeCell ref="B32:B36"/>
    <mergeCell ref="B37:C37"/>
    <mergeCell ref="B38:B42"/>
    <mergeCell ref="B43:C43"/>
    <mergeCell ref="B44:B48"/>
    <mergeCell ref="B50:C50"/>
    <mergeCell ref="B53:C53"/>
    <mergeCell ref="B49:C49"/>
  </mergeCells>
  <pageMargins left="0.511811024" right="0.511811024" top="0.78740157499999996" bottom="0.78740157499999996" header="0.31496062000000002" footer="0.31496062000000002"/>
  <pageSetup paperSize="9"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3" tint="-0.249977111117893"/>
  </sheetPr>
  <dimension ref="A1:S44"/>
  <sheetViews>
    <sheetView showGridLines="0" topLeftCell="A9" zoomScale="90" zoomScaleNormal="90" workbookViewId="0">
      <selection activeCell="D33" sqref="D33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7.85546875" customWidth="1"/>
    <col min="4" max="4" width="16.85546875" bestFit="1" customWidth="1"/>
    <col min="5" max="5" width="18.85546875" customWidth="1"/>
    <col min="6" max="6" width="24" style="6" bestFit="1" customWidth="1"/>
    <col min="7" max="8" width="27.7109375" style="6" customWidth="1"/>
    <col min="9" max="9" width="27.7109375" customWidth="1"/>
    <col min="10" max="10" width="21.28515625" customWidth="1"/>
    <col min="11" max="11" width="18.5703125" hidden="1" customWidth="1"/>
    <col min="12" max="19" width="0" hidden="1" customWidth="1"/>
    <col min="20" max="16384" width="9.140625" hidden="1"/>
  </cols>
  <sheetData>
    <row r="1" spans="2:10" s="6" customFormat="1" ht="3" customHeight="1" x14ac:dyDescent="0.25"/>
    <row r="2" spans="2:10" s="6" customFormat="1" ht="14.25" x14ac:dyDescent="0.25"/>
    <row r="3" spans="2:10" s="139" customFormat="1" ht="18" customHeight="1" x14ac:dyDescent="0.25">
      <c r="G3" s="140"/>
      <c r="H3" s="140"/>
      <c r="I3" s="140"/>
      <c r="J3" s="140"/>
    </row>
    <row r="4" spans="2:10" s="139" customFormat="1" ht="15" customHeight="1" x14ac:dyDescent="0.25">
      <c r="G4" s="140"/>
      <c r="H4" s="140"/>
      <c r="I4" s="140"/>
      <c r="J4" s="140"/>
    </row>
    <row r="5" spans="2:10" s="139" customFormat="1" ht="21" customHeight="1" x14ac:dyDescent="0.25">
      <c r="G5" s="140"/>
      <c r="H5" s="140"/>
      <c r="I5" s="140"/>
      <c r="J5" s="140"/>
    </row>
    <row r="6" spans="2:10" s="6" customFormat="1" ht="18" customHeight="1" x14ac:dyDescent="0.25">
      <c r="G6" s="128"/>
      <c r="H6" s="128"/>
      <c r="I6" s="128"/>
      <c r="J6" s="128"/>
    </row>
    <row r="7" spans="2:10" s="6" customFormat="1" ht="15" customHeight="1" x14ac:dyDescent="0.25">
      <c r="B7" s="138" t="s">
        <v>96</v>
      </c>
      <c r="C7" s="138"/>
      <c r="D7" s="138"/>
      <c r="E7" s="138"/>
      <c r="F7" s="138"/>
      <c r="G7" s="128"/>
      <c r="H7" s="128"/>
    </row>
    <row r="8" spans="2:10" s="6" customFormat="1" ht="15" customHeight="1" x14ac:dyDescent="0.25">
      <c r="E8" s="138"/>
      <c r="F8" s="138"/>
      <c r="G8" s="169"/>
    </row>
    <row r="9" spans="2:10" s="6" customFormat="1" ht="18" customHeight="1" x14ac:dyDescent="0.25">
      <c r="B9" s="243" t="s">
        <v>97</v>
      </c>
      <c r="C9" s="306">
        <f>(C16+C23)/Volume_2022!P130</f>
        <v>0.26468235872040474</v>
      </c>
    </row>
    <row r="10" spans="2:10" s="6" customFormat="1" ht="18" customHeight="1" x14ac:dyDescent="0.25">
      <c r="B10" s="28"/>
      <c r="C10" s="29"/>
      <c r="I10" s="16"/>
    </row>
    <row r="11" spans="2:10" s="6" customFormat="1" ht="18" customHeight="1" x14ac:dyDescent="0.25">
      <c r="B11" s="414" t="s">
        <v>98</v>
      </c>
      <c r="C11" s="414"/>
      <c r="G11" s="15"/>
      <c r="I11" s="15"/>
    </row>
    <row r="12" spans="2:10" s="6" customFormat="1" ht="15" customHeight="1" x14ac:dyDescent="0.25">
      <c r="B12" s="307" t="s">
        <v>99</v>
      </c>
      <c r="C12" s="308">
        <f>+Volume_2022!P54</f>
        <v>160733284</v>
      </c>
      <c r="G12" s="15"/>
    </row>
    <row r="13" spans="2:10" s="7" customFormat="1" ht="18" customHeight="1" x14ac:dyDescent="0.25">
      <c r="B13" s="307" t="s">
        <v>100</v>
      </c>
      <c r="C13" s="308">
        <f>+Volume_2022!P92</f>
        <v>139742247.48000002</v>
      </c>
      <c r="D13" s="6"/>
      <c r="E13" s="6"/>
      <c r="F13" s="6"/>
      <c r="G13" s="15"/>
    </row>
    <row r="14" spans="2:10" s="6" customFormat="1" ht="18" customHeight="1" x14ac:dyDescent="0.25">
      <c r="B14" s="309" t="s">
        <v>101</v>
      </c>
      <c r="C14" s="308">
        <f>Volume_2022!P54+Volume_2022!P92</f>
        <v>300475531.48000002</v>
      </c>
      <c r="G14" s="15"/>
    </row>
    <row r="15" spans="2:10" s="6" customFormat="1" ht="18" customHeight="1" x14ac:dyDescent="0.25">
      <c r="B15" s="309" t="s">
        <v>102</v>
      </c>
      <c r="C15" s="308">
        <f>'CF - 2023'!P20</f>
        <v>1870181827.0900002</v>
      </c>
      <c r="G15" s="15"/>
    </row>
    <row r="16" spans="2:10" s="6" customFormat="1" ht="18" customHeight="1" x14ac:dyDescent="0.25">
      <c r="B16" s="278" t="s">
        <v>103</v>
      </c>
      <c r="C16" s="310">
        <f>1%*C15</f>
        <v>18701818.270900004</v>
      </c>
      <c r="E16" s="14"/>
      <c r="G16" s="15"/>
    </row>
    <row r="17" spans="2:11" s="6" customFormat="1" ht="18" customHeight="1" x14ac:dyDescent="0.25">
      <c r="B17" s="239"/>
      <c r="C17" s="240"/>
      <c r="G17" s="15"/>
    </row>
    <row r="18" spans="2:11" s="7" customFormat="1" ht="18" customHeight="1" x14ac:dyDescent="0.25">
      <c r="B18" s="414" t="s">
        <v>104</v>
      </c>
      <c r="C18" s="414"/>
      <c r="D18" s="6"/>
      <c r="E18" s="6"/>
      <c r="F18" s="15"/>
      <c r="G18" s="15"/>
      <c r="I18" s="6"/>
      <c r="J18" s="6"/>
    </row>
    <row r="19" spans="2:11" s="6" customFormat="1" ht="15" customHeight="1" x14ac:dyDescent="0.25">
      <c r="B19" s="307" t="s">
        <v>105</v>
      </c>
      <c r="C19" s="308">
        <f>Volume_2022!P10</f>
        <v>259310656</v>
      </c>
      <c r="D19" s="190"/>
      <c r="E19" s="16"/>
      <c r="F19" s="184"/>
      <c r="G19" s="185"/>
    </row>
    <row r="20" spans="2:11" s="6" customFormat="1" ht="18" customHeight="1" x14ac:dyDescent="0.25">
      <c r="B20" s="307" t="s">
        <v>106</v>
      </c>
      <c r="C20" s="308">
        <f>Volume_2022!P11</f>
        <v>131748490</v>
      </c>
      <c r="D20" s="190"/>
      <c r="E20" s="16"/>
    </row>
    <row r="21" spans="2:11" s="6" customFormat="1" ht="18" customHeight="1" x14ac:dyDescent="0.25">
      <c r="B21" s="309" t="s">
        <v>107</v>
      </c>
      <c r="C21" s="308">
        <f>SUM(C19:C20)</f>
        <v>391059146</v>
      </c>
      <c r="F21" s="15"/>
    </row>
    <row r="22" spans="2:11" s="6" customFormat="1" ht="18" customHeight="1" x14ac:dyDescent="0.25">
      <c r="B22" s="309" t="s">
        <v>108</v>
      </c>
      <c r="C22" s="308">
        <f>'CF - 2023'!P21</f>
        <v>2433150165.5597453</v>
      </c>
      <c r="F22" s="15"/>
    </row>
    <row r="23" spans="2:11" s="6" customFormat="1" ht="18" customHeight="1" x14ac:dyDescent="0.25">
      <c r="B23" s="311" t="s">
        <v>109</v>
      </c>
      <c r="C23" s="312">
        <f>2.5%*C22</f>
        <v>60828754.138993636</v>
      </c>
      <c r="G23" s="186"/>
      <c r="H23" s="15"/>
    </row>
    <row r="24" spans="2:11" s="6" customFormat="1" ht="18" customHeight="1" x14ac:dyDescent="0.25">
      <c r="B24" s="177"/>
      <c r="C24" s="178"/>
      <c r="F24" s="182"/>
      <c r="G24" s="187"/>
      <c r="H24" s="182"/>
      <c r="I24" s="182"/>
      <c r="J24" s="182"/>
      <c r="K24" s="182"/>
    </row>
    <row r="25" spans="2:11" s="6" customFormat="1" x14ac:dyDescent="0.25">
      <c r="B25" s="243" t="s">
        <v>110</v>
      </c>
      <c r="C25" s="243" t="s">
        <v>111</v>
      </c>
      <c r="E25" s="168"/>
      <c r="F25" s="15"/>
      <c r="G25" s="15"/>
    </row>
    <row r="26" spans="2:11" s="6" customFormat="1" ht="15" customHeight="1" x14ac:dyDescent="0.25">
      <c r="B26" s="313" t="s">
        <v>112</v>
      </c>
      <c r="C26" s="314">
        <f>C16</f>
        <v>18701818.270900004</v>
      </c>
      <c r="E26" s="168"/>
      <c r="F26" s="15"/>
      <c r="G26" s="15"/>
      <c r="H26" s="188"/>
      <c r="K26" s="15"/>
    </row>
    <row r="27" spans="2:11" s="6" customFormat="1" ht="15" customHeight="1" x14ac:dyDescent="0.25">
      <c r="B27" s="313" t="s">
        <v>113</v>
      </c>
      <c r="C27" s="314">
        <f>C23</f>
        <v>60828754.138993636</v>
      </c>
      <c r="E27" s="90"/>
      <c r="H27" s="183"/>
      <c r="K27" s="15"/>
    </row>
    <row r="28" spans="2:11" s="6" customFormat="1" ht="15" customHeight="1" x14ac:dyDescent="0.25">
      <c r="B28" s="313" t="s">
        <v>114</v>
      </c>
      <c r="C28" s="314">
        <v>60000</v>
      </c>
      <c r="E28" s="90"/>
      <c r="H28" s="183"/>
      <c r="K28" s="15"/>
    </row>
    <row r="29" spans="2:11" s="6" customFormat="1" ht="30" customHeight="1" x14ac:dyDescent="0.25">
      <c r="B29" s="315" t="s">
        <v>115</v>
      </c>
      <c r="C29" s="367">
        <v>9000000</v>
      </c>
      <c r="D29" s="237"/>
      <c r="H29" s="183"/>
      <c r="K29" s="15"/>
    </row>
    <row r="30" spans="2:11" s="6" customFormat="1" ht="38.25" customHeight="1" x14ac:dyDescent="0.25">
      <c r="B30" s="315" t="s">
        <v>116</v>
      </c>
      <c r="C30" s="367">
        <f>(E31*0.2%)</f>
        <v>3462999.43854</v>
      </c>
      <c r="D30" s="237"/>
      <c r="E30" s="322" t="s">
        <v>117</v>
      </c>
      <c r="H30" s="183"/>
      <c r="K30" s="15"/>
    </row>
    <row r="31" spans="2:11" s="6" customFormat="1" ht="30" customHeight="1" x14ac:dyDescent="0.25">
      <c r="B31" s="243" t="s">
        <v>118</v>
      </c>
      <c r="C31" s="316">
        <f>C26+C27+C28+C29+C30</f>
        <v>92053571.848433629</v>
      </c>
      <c r="E31" s="323">
        <v>1731499719.27</v>
      </c>
      <c r="H31" s="183"/>
      <c r="K31" s="15"/>
    </row>
    <row r="32" spans="2:11" s="6" customFormat="1" ht="15" customHeight="1" x14ac:dyDescent="0.25">
      <c r="B32" s="28"/>
      <c r="C32" s="29"/>
      <c r="H32" s="183"/>
      <c r="K32" s="15"/>
    </row>
    <row r="33" spans="2:11" s="6" customFormat="1" ht="30.75" customHeight="1" x14ac:dyDescent="0.25">
      <c r="B33" s="317" t="s">
        <v>119</v>
      </c>
      <c r="C33" s="318" t="s">
        <v>120</v>
      </c>
      <c r="D33" s="369">
        <f>C31</f>
        <v>92053571.848433629</v>
      </c>
      <c r="F33" s="131"/>
      <c r="G33" s="90"/>
      <c r="H33" s="183"/>
      <c r="K33" s="15"/>
    </row>
    <row r="34" spans="2:11" s="6" customFormat="1" ht="15" customHeight="1" x14ac:dyDescent="0.25">
      <c r="B34" s="317" t="s">
        <v>58</v>
      </c>
      <c r="C34" s="318" t="s">
        <v>121</v>
      </c>
      <c r="D34" s="369">
        <f>Volume_2022!P130</f>
        <v>300475531.48000002</v>
      </c>
      <c r="H34" s="183"/>
      <c r="K34" s="15"/>
    </row>
    <row r="35" spans="2:11" s="6" customFormat="1" ht="15" customHeight="1" x14ac:dyDescent="0.25">
      <c r="B35" s="249" t="s">
        <v>122</v>
      </c>
      <c r="C35" s="320" t="s">
        <v>123</v>
      </c>
      <c r="D35" s="321">
        <f>D33/D34</f>
        <v>0.30635962733811095</v>
      </c>
      <c r="H35" s="183"/>
      <c r="K35" s="15"/>
    </row>
    <row r="36" spans="2:11" s="6" customFormat="1" ht="15" customHeight="1" x14ac:dyDescent="0.25">
      <c r="B36"/>
      <c r="C36"/>
      <c r="D36"/>
      <c r="H36" s="183"/>
      <c r="K36" s="15"/>
    </row>
    <row r="37" spans="2:11" s="6" customFormat="1" ht="15" customHeight="1" x14ac:dyDescent="0.25">
      <c r="B37"/>
      <c r="C37"/>
      <c r="D37"/>
      <c r="H37" s="183"/>
      <c r="K37" s="15"/>
    </row>
    <row r="38" spans="2:11" s="6" customFormat="1" ht="15" hidden="1" customHeight="1" x14ac:dyDescent="0.25">
      <c r="B38"/>
      <c r="C38"/>
      <c r="D38"/>
    </row>
    <row r="39" spans="2:11" s="6" customFormat="1" hidden="1" x14ac:dyDescent="0.25">
      <c r="B39"/>
      <c r="C39"/>
      <c r="D39"/>
    </row>
    <row r="40" spans="2:11" s="6" customFormat="1" ht="9" hidden="1" customHeight="1" x14ac:dyDescent="0.25">
      <c r="B40"/>
      <c r="C40"/>
      <c r="D40"/>
      <c r="H40"/>
    </row>
    <row r="41" spans="2:11" s="6" customFormat="1" hidden="1" x14ac:dyDescent="0.25">
      <c r="B41"/>
      <c r="C41"/>
      <c r="D41"/>
      <c r="E41"/>
      <c r="G41" s="17"/>
      <c r="H41" s="17"/>
    </row>
    <row r="42" spans="2:11" s="6" customFormat="1" ht="15" hidden="1" customHeight="1" x14ac:dyDescent="0.25">
      <c r="B42"/>
      <c r="C42"/>
      <c r="D42"/>
      <c r="E42"/>
      <c r="G42" s="21"/>
      <c r="H42" s="17"/>
      <c r="K42"/>
    </row>
    <row r="43" spans="2:11" hidden="1" x14ac:dyDescent="0.25">
      <c r="F43"/>
    </row>
    <row r="44" spans="2:11" hidden="1" x14ac:dyDescent="0.25">
      <c r="F44"/>
    </row>
  </sheetData>
  <mergeCells count="2">
    <mergeCell ref="B11:C11"/>
    <mergeCell ref="B18:C18"/>
  </mergeCells>
  <phoneticPr fontId="32" type="noConversion"/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AB84-9B60-4FC5-9826-8C5FC1F35B68}">
  <sheetPr>
    <tabColor theme="3" tint="-0.249977111117893"/>
  </sheetPr>
  <dimension ref="A1:XFC43"/>
  <sheetViews>
    <sheetView showGridLines="0" topLeftCell="A4" zoomScale="110" zoomScaleNormal="110" workbookViewId="0">
      <selection activeCell="I25" sqref="I25"/>
    </sheetView>
  </sheetViews>
  <sheetFormatPr defaultColWidth="0" defaultRowHeight="15" zeroHeight="1" x14ac:dyDescent="0.25"/>
  <cols>
    <col min="1" max="1" width="9.140625" style="1" customWidth="1"/>
    <col min="2" max="2" width="40.85546875" style="1" bestFit="1" customWidth="1"/>
    <col min="3" max="3" width="19.7109375" style="1" bestFit="1" customWidth="1"/>
    <col min="4" max="4" width="19.140625" style="1" bestFit="1" customWidth="1"/>
    <col min="5" max="5" width="14" style="1" customWidth="1"/>
    <col min="6" max="6" width="13.5703125" style="1" customWidth="1"/>
    <col min="7" max="7" width="18.140625" style="1" customWidth="1"/>
    <col min="8" max="8" width="29" style="1" customWidth="1"/>
    <col min="9" max="10" width="29" customWidth="1"/>
    <col min="11" max="11" width="20.5703125" customWidth="1"/>
    <col min="12" max="12" width="26.5703125" hidden="1" customWidth="1"/>
    <col min="13" max="13" width="20.85546875" hidden="1" customWidth="1"/>
    <col min="14" max="14" width="20.85546875" hidden="1"/>
    <col min="15" max="16383" width="9.140625" hidden="1"/>
    <col min="16384" max="16384" width="1.42578125" hidden="1" customWidth="1"/>
  </cols>
  <sheetData>
    <row r="1" spans="1:12" s="1" customFormat="1" ht="3" customHeight="1" x14ac:dyDescent="0.2"/>
    <row r="2" spans="1:12" s="1" customFormat="1" ht="15" customHeight="1" x14ac:dyDescent="0.2"/>
    <row r="3" spans="1:12" s="1" customFormat="1" ht="15" customHeight="1" x14ac:dyDescent="0.2">
      <c r="A3" s="151"/>
      <c r="B3" s="151"/>
      <c r="C3" s="152"/>
      <c r="D3" s="152"/>
      <c r="E3" s="152"/>
      <c r="F3" s="152"/>
      <c r="G3" s="152"/>
      <c r="H3" s="152"/>
      <c r="I3" s="151"/>
      <c r="J3" s="151"/>
      <c r="K3" s="151"/>
      <c r="L3" s="151"/>
    </row>
    <row r="4" spans="1:12" s="1" customFormat="1" ht="15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1" customFormat="1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s="1" customFormat="1" ht="15" customHeight="1" x14ac:dyDescent="0.2"/>
    <row r="7" spans="1:12" s="1" customFormat="1" ht="15" customHeight="1" x14ac:dyDescent="0.2">
      <c r="B7" s="138" t="s">
        <v>124</v>
      </c>
      <c r="C7" s="2"/>
      <c r="D7" s="2"/>
      <c r="E7" s="2"/>
      <c r="F7" s="2"/>
    </row>
    <row r="8" spans="1:12" s="1" customFormat="1" ht="15" customHeight="1" x14ac:dyDescent="0.2">
      <c r="B8" s="415"/>
      <c r="C8" s="415"/>
      <c r="D8" s="415"/>
      <c r="E8" s="415"/>
      <c r="F8" s="415"/>
    </row>
    <row r="9" spans="1:12" s="1" customFormat="1" ht="15" customHeight="1" x14ac:dyDescent="0.25">
      <c r="B9" s="416" t="s">
        <v>125</v>
      </c>
      <c r="C9" s="416"/>
      <c r="D9" s="416"/>
      <c r="E9" s="416"/>
      <c r="F9" s="416"/>
      <c r="G9" s="416"/>
    </row>
    <row r="10" spans="1:12" s="1" customFormat="1" ht="15" customHeight="1" x14ac:dyDescent="0.2">
      <c r="B10" s="399" t="s">
        <v>32</v>
      </c>
      <c r="C10" s="399"/>
      <c r="D10" s="263" t="s">
        <v>126</v>
      </c>
      <c r="E10" s="263" t="s">
        <v>127</v>
      </c>
      <c r="F10" s="263" t="s">
        <v>128</v>
      </c>
      <c r="G10" s="263" t="s">
        <v>129</v>
      </c>
    </row>
    <row r="11" spans="1:12" s="8" customFormat="1" ht="15" customHeight="1" x14ac:dyDescent="0.25">
      <c r="B11" s="264" t="s">
        <v>130</v>
      </c>
      <c r="C11" s="265" t="s">
        <v>131</v>
      </c>
      <c r="D11" s="266">
        <v>515403108.97827083</v>
      </c>
      <c r="E11" s="385">
        <f>D11/$D$16</f>
        <v>0.3610263310934741</v>
      </c>
      <c r="F11" s="267">
        <f>Índices_2022!E23</f>
        <v>5.9324644306454788E-2</v>
      </c>
      <c r="G11" s="268">
        <f>E11*F11</f>
        <v>2.141775867738473E-2</v>
      </c>
      <c r="H11" s="100"/>
      <c r="I11" s="203"/>
    </row>
    <row r="12" spans="1:12" s="8" customFormat="1" ht="15" customHeight="1" x14ac:dyDescent="0.25">
      <c r="B12" s="264" t="s">
        <v>132</v>
      </c>
      <c r="C12" s="265" t="s">
        <v>133</v>
      </c>
      <c r="D12" s="266">
        <v>135923148.23295999</v>
      </c>
      <c r="E12" s="385">
        <f t="shared" ref="E12:E14" si="0">D12/$D$16</f>
        <v>9.5210592762040969E-2</v>
      </c>
      <c r="F12" s="267">
        <f>Índices_2022!H49</f>
        <v>7.8208790126514494E-2</v>
      </c>
      <c r="G12" s="268">
        <f>E12*F12</f>
        <v>7.4463052671475023E-3</v>
      </c>
      <c r="H12" s="100"/>
      <c r="I12" s="203"/>
    </row>
    <row r="13" spans="1:12" s="8" customFormat="1" ht="15" customHeight="1" x14ac:dyDescent="0.25">
      <c r="B13" s="264" t="s">
        <v>134</v>
      </c>
      <c r="C13" s="265" t="s">
        <v>135</v>
      </c>
      <c r="D13" s="266">
        <v>73053331.884937555</v>
      </c>
      <c r="E13" s="385">
        <f t="shared" si="0"/>
        <v>5.117193886714571E-2</v>
      </c>
      <c r="F13" s="267">
        <f>Índices_2022!G23</f>
        <v>5.4512855725947995E-2</v>
      </c>
      <c r="G13" s="268">
        <f t="shared" ref="G13:G15" si="1">E13*F13</f>
        <v>2.7895285206817446E-3</v>
      </c>
      <c r="H13" s="100"/>
      <c r="I13" s="203"/>
    </row>
    <row r="14" spans="1:12" s="8" customFormat="1" ht="15" customHeight="1" x14ac:dyDescent="0.25">
      <c r="B14" s="269" t="s">
        <v>136</v>
      </c>
      <c r="C14" s="270" t="s">
        <v>137</v>
      </c>
      <c r="D14" s="271">
        <v>421844752.47166598</v>
      </c>
      <c r="E14" s="385">
        <f t="shared" si="0"/>
        <v>0.29549116142856074</v>
      </c>
      <c r="F14" s="267">
        <f>Índices_2022!G23</f>
        <v>5.4512855725947995E-2</v>
      </c>
      <c r="G14" s="268">
        <f t="shared" si="1"/>
        <v>1.610806705124794E-2</v>
      </c>
      <c r="H14" s="100"/>
      <c r="I14" s="203"/>
    </row>
    <row r="15" spans="1:12" s="8" customFormat="1" ht="15" customHeight="1" x14ac:dyDescent="0.25">
      <c r="B15" s="269" t="s">
        <v>138</v>
      </c>
      <c r="C15" s="270" t="s">
        <v>139</v>
      </c>
      <c r="D15" s="266">
        <v>281380973.02853155</v>
      </c>
      <c r="E15" s="385">
        <f>D15/$D$16</f>
        <v>0.1970999758487785</v>
      </c>
      <c r="F15" s="272">
        <f>Índices_2022!F23</f>
        <v>5.7850929078894886E-2</v>
      </c>
      <c r="G15" s="268">
        <f t="shared" si="1"/>
        <v>1.1402416724279579E-2</v>
      </c>
      <c r="H15" s="100"/>
      <c r="I15" s="203"/>
    </row>
    <row r="16" spans="1:12" s="8" customFormat="1" ht="15" customHeight="1" x14ac:dyDescent="0.25">
      <c r="B16" s="269"/>
      <c r="C16" s="273" t="s">
        <v>69</v>
      </c>
      <c r="D16" s="274">
        <f>SUM(D11:D15)</f>
        <v>1427605314.5963659</v>
      </c>
      <c r="E16" s="267">
        <f>SUM(E11:E15)</f>
        <v>0.99999999999999989</v>
      </c>
      <c r="F16" s="275"/>
      <c r="G16" s="275">
        <f>SUM(G11:G15)</f>
        <v>5.9164076240741499E-2</v>
      </c>
    </row>
    <row r="17" spans="1:11" s="8" customFormat="1" ht="25.5" customHeight="1" x14ac:dyDescent="0.25">
      <c r="B17" s="399" t="s">
        <v>140</v>
      </c>
      <c r="C17" s="399"/>
      <c r="D17" s="399"/>
      <c r="E17" s="399"/>
      <c r="F17" s="399"/>
      <c r="G17" s="276">
        <f>SUM(G11:G15)</f>
        <v>5.9164076240741499E-2</v>
      </c>
      <c r="H17" s="100"/>
    </row>
    <row r="18" spans="1:11" s="8" customFormat="1" ht="15" customHeight="1" x14ac:dyDescent="0.25">
      <c r="B18" s="106" t="s">
        <v>141</v>
      </c>
      <c r="C18" s="141" t="s">
        <v>142</v>
      </c>
      <c r="D18" s="142"/>
      <c r="E18" s="368">
        <f>SUM(E13:E14)</f>
        <v>0.34666310029570646</v>
      </c>
      <c r="F18" s="164"/>
      <c r="G18" s="201"/>
    </row>
    <row r="19" spans="1:11" s="8" customFormat="1" ht="15" customHeight="1" x14ac:dyDescent="0.2">
      <c r="B19" s="165"/>
      <c r="C19" s="165"/>
      <c r="D19" s="142"/>
      <c r="E19" s="165"/>
      <c r="F19" s="165"/>
      <c r="G19" s="202"/>
      <c r="H19" s="203"/>
      <c r="J19" s="8" t="s">
        <v>143</v>
      </c>
    </row>
    <row r="20" spans="1:11" s="8" customFormat="1" ht="15" customHeight="1" x14ac:dyDescent="0.2">
      <c r="B20" s="399" t="s">
        <v>144</v>
      </c>
      <c r="C20" s="417"/>
      <c r="D20" s="165"/>
      <c r="E20" s="163"/>
      <c r="F20" s="163"/>
      <c r="G20" s="211"/>
      <c r="H20" s="89"/>
      <c r="I20" s="89"/>
      <c r="J20" s="89"/>
      <c r="K20" s="89"/>
    </row>
    <row r="21" spans="1:11" s="8" customFormat="1" ht="15" customHeight="1" x14ac:dyDescent="0.2">
      <c r="B21" s="277" t="s">
        <v>145</v>
      </c>
      <c r="C21" s="267">
        <f>+G17</f>
        <v>5.9164076240741499E-2</v>
      </c>
      <c r="D21" s="213"/>
      <c r="E21" s="166"/>
      <c r="F21" s="166"/>
      <c r="G21" s="166"/>
      <c r="H21" s="89"/>
      <c r="I21" s="89"/>
      <c r="J21" s="89"/>
      <c r="K21" s="89"/>
    </row>
    <row r="22" spans="1:11" s="8" customFormat="1" ht="15" customHeight="1" x14ac:dyDescent="0.25">
      <c r="B22" s="277" t="s">
        <v>146</v>
      </c>
      <c r="C22" s="272">
        <v>1.3838629999999999E-2</v>
      </c>
      <c r="D22" s="212"/>
      <c r="E22" s="166"/>
      <c r="F22" s="166"/>
      <c r="G22" s="166"/>
      <c r="H22" s="89"/>
      <c r="I22" s="89"/>
      <c r="J22" s="89"/>
      <c r="K22" s="89"/>
    </row>
    <row r="23" spans="1:11" s="1" customFormat="1" ht="15" customHeight="1" x14ac:dyDescent="0.2">
      <c r="B23" s="278" t="s">
        <v>147</v>
      </c>
      <c r="C23" s="279">
        <f>C21-C22</f>
        <v>4.5325446240741502E-2</v>
      </c>
      <c r="D23" s="373"/>
      <c r="E23" s="166"/>
      <c r="F23" s="166"/>
      <c r="G23" s="166"/>
    </row>
    <row r="24" spans="1:11" ht="15" customHeight="1" x14ac:dyDescent="0.25">
      <c r="B24" s="167"/>
      <c r="C24" s="167"/>
      <c r="D24" s="204"/>
      <c r="E24" s="163"/>
      <c r="F24" s="163"/>
      <c r="G24" s="163"/>
      <c r="I24" s="4"/>
      <c r="J24" s="4"/>
      <c r="K24" s="4"/>
    </row>
    <row r="25" spans="1:11" ht="15" customHeight="1" x14ac:dyDescent="0.25">
      <c r="A25" s="8"/>
      <c r="B25" s="399" t="s">
        <v>148</v>
      </c>
      <c r="C25" s="399"/>
      <c r="D25" s="374"/>
      <c r="E25" s="163"/>
      <c r="F25" s="163"/>
      <c r="G25" s="163"/>
      <c r="I25" s="4"/>
    </row>
    <row r="26" spans="1:11" ht="15" customHeight="1" x14ac:dyDescent="0.25">
      <c r="A26" s="8"/>
      <c r="B26" s="280" t="s">
        <v>149</v>
      </c>
      <c r="C26" s="281">
        <f>+'RTA 2023'!D22</f>
        <v>5.5904972908920652</v>
      </c>
      <c r="D26" s="163"/>
      <c r="E26" s="163"/>
      <c r="F26" s="163"/>
      <c r="G26" s="163"/>
      <c r="I26" s="5"/>
    </row>
    <row r="27" spans="1:11" ht="15" customHeight="1" x14ac:dyDescent="0.25">
      <c r="A27" s="8"/>
      <c r="B27" s="280" t="s">
        <v>150</v>
      </c>
      <c r="C27" s="281">
        <f>C26*(1+C23)</f>
        <v>5.8438890753094048</v>
      </c>
      <c r="D27" s="163"/>
      <c r="E27" s="163"/>
      <c r="F27" s="163"/>
      <c r="G27" s="163"/>
    </row>
    <row r="28" spans="1:11" ht="15" customHeight="1" x14ac:dyDescent="0.25">
      <c r="B28" s="162"/>
      <c r="C28" s="162"/>
      <c r="D28" s="163"/>
      <c r="E28" s="162"/>
      <c r="F28" s="162"/>
      <c r="G28" s="162"/>
    </row>
    <row r="29" spans="1:11" ht="15" customHeight="1" x14ac:dyDescent="0.25">
      <c r="B29" s="162"/>
      <c r="C29" s="379"/>
      <c r="D29" s="162"/>
      <c r="F29"/>
      <c r="G29"/>
      <c r="H29"/>
    </row>
    <row r="30" spans="1:11" ht="15" customHeight="1" x14ac:dyDescent="0.25">
      <c r="B30" s="162"/>
      <c r="C30" s="377"/>
      <c r="D30" s="162"/>
      <c r="F30"/>
      <c r="G30"/>
      <c r="H30"/>
    </row>
    <row r="31" spans="1:11" ht="15" customHeight="1" x14ac:dyDescent="0.25">
      <c r="D31" s="162"/>
      <c r="F31"/>
      <c r="G31"/>
      <c r="H31"/>
    </row>
    <row r="32" spans="1:11" ht="15" customHeight="1" x14ac:dyDescent="0.25">
      <c r="B32" s="25"/>
      <c r="C32" s="26"/>
    </row>
    <row r="33" spans="4:4" s="1" customFormat="1" ht="15" customHeight="1" x14ac:dyDescent="0.2"/>
    <row r="34" spans="4:4" s="1" customFormat="1" ht="15" customHeight="1" x14ac:dyDescent="0.2"/>
    <row r="35" spans="4:4" s="1" customFormat="1" ht="15" customHeight="1" x14ac:dyDescent="0.2"/>
    <row r="36" spans="4:4" s="1" customFormat="1" ht="15" hidden="1" customHeight="1" x14ac:dyDescent="0.2"/>
    <row r="39" spans="4:4" s="1" customFormat="1" ht="14.25" hidden="1" x14ac:dyDescent="0.2">
      <c r="D39" s="20"/>
    </row>
    <row r="40" spans="4:4" s="1" customFormat="1" ht="14.25" hidden="1" x14ac:dyDescent="0.2">
      <c r="D40" s="20"/>
    </row>
    <row r="41" spans="4:4" s="1" customFormat="1" ht="14.25" hidden="1" x14ac:dyDescent="0.2">
      <c r="D41" s="20"/>
    </row>
    <row r="42" spans="4:4" s="1" customFormat="1" ht="14.25" hidden="1" x14ac:dyDescent="0.2">
      <c r="D42" s="20"/>
    </row>
    <row r="43" spans="4:4" s="1" customFormat="1" ht="14.25" hidden="1" x14ac:dyDescent="0.2">
      <c r="D43" s="20"/>
    </row>
  </sheetData>
  <mergeCells count="6">
    <mergeCell ref="B8:F8"/>
    <mergeCell ref="B9:G9"/>
    <mergeCell ref="B17:F17"/>
    <mergeCell ref="B20:C20"/>
    <mergeCell ref="B25:C25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3" ma:contentTypeDescription="Crie um novo documento." ma:contentTypeScope="" ma:versionID="04b80a42d1d84774952fd9a4ec89c840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6e9ddf0af206fd07c069646aebffd3a7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520b24-8996-453a-8c5e-60294695dd12">
      <UserInfo>
        <DisplayName>Cássio Leandro Cossenzo</DisplayName>
        <AccountId>20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633D54-5683-404A-8D46-CB4641D5A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5C07B-A263-424C-869C-57429B3A7A91}">
  <ds:schemaRefs>
    <ds:schemaRef ds:uri="http://purl.org/dc/dcmitype/"/>
    <ds:schemaRef ds:uri="12eaf6f9-417e-4436-811b-51d381a4d0a9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b520b24-8996-453a-8c5e-60294695dd1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</vt:i4>
      </vt:variant>
    </vt:vector>
  </HeadingPairs>
  <TitlesOfParts>
    <vt:vector size="16" baseType="lpstr">
      <vt:lpstr>Fórmulas</vt:lpstr>
      <vt:lpstr>Parâmetros</vt:lpstr>
      <vt:lpstr>Índices_2022</vt:lpstr>
      <vt:lpstr>Índices_2022 - Gráfico</vt:lpstr>
      <vt:lpstr>Bônus-Desconto</vt:lpstr>
      <vt:lpstr>Bônus-Desconto - Gráfico</vt:lpstr>
      <vt:lpstr>Volume_2022</vt:lpstr>
      <vt:lpstr>VPA 2023</vt:lpstr>
      <vt:lpstr>VPB 2023</vt:lpstr>
      <vt:lpstr>VPB 2023 - Gráficos</vt:lpstr>
      <vt:lpstr>CF - 2023</vt:lpstr>
      <vt:lpstr>RTA 2023</vt:lpstr>
      <vt:lpstr>Tarifas 2023</vt:lpstr>
      <vt:lpstr>RTP 2020</vt:lpstr>
      <vt:lpstr>'RTA 2023'!Area_de_impressao</vt:lpstr>
      <vt:lpstr>'Tarifas 2023'!Area_de_impressao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cassio.leandro</dc:creator>
  <cp:keywords/>
  <dc:description/>
  <cp:lastModifiedBy>Jéssica Sousa de Araujo</cp:lastModifiedBy>
  <cp:revision/>
  <dcterms:created xsi:type="dcterms:W3CDTF">2013-12-30T11:25:26Z</dcterms:created>
  <dcterms:modified xsi:type="dcterms:W3CDTF">2024-04-25T19:58:20Z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  <property fmtid="{D5CDD505-2E9C-101B-9397-08002B2CF9AE}" pid="3" name="AuthorIds_UIVersion_8192">
    <vt:lpwstr>165</vt:lpwstr>
  </property>
</Properties>
</file>