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sio.leandro\Desktop\"/>
    </mc:Choice>
  </mc:AlternateContent>
  <bookViews>
    <workbookView xWindow="0" yWindow="0" windowWidth="28800" windowHeight="12435" tabRatio="643"/>
  </bookViews>
  <sheets>
    <sheet name="Tarifas 2017" sheetId="16" r:id="rId1"/>
    <sheet name="IRT 2017" sheetId="15" r:id="rId2"/>
    <sheet name="VPA 2017" sheetId="13" r:id="rId3"/>
    <sheet name="VPB 2017" sheetId="14" r:id="rId4"/>
    <sheet name="CF - Parcela A" sheetId="17" r:id="rId5"/>
    <sheet name="CF - Outros" sheetId="20" r:id="rId6"/>
    <sheet name="2ª RTP - Reposic Tarifário" sheetId="19" r:id="rId7"/>
    <sheet name="Revisão_homologada" sheetId="1" r:id="rId8"/>
    <sheet name="Indices_2016" sheetId="2" r:id="rId9"/>
    <sheet name="Volume_2016" sheetId="4" r:id="rId10"/>
    <sheet name="Bonus_Residencial_Normal" sheetId="6" r:id="rId11"/>
    <sheet name="Bonus_Residencial_Popular" sheetId="7" r:id="rId12"/>
    <sheet name="Bonus_Comercial" sheetId="8" r:id="rId13"/>
    <sheet name="Bonus_Industrial" sheetId="9" r:id="rId14"/>
    <sheet name="Bonus_Total" sheetId="10" r:id="rId15"/>
    <sheet name="Energia_Eletrica_2016" sheetId="11" r:id="rId16"/>
    <sheet name="Proporção de Custos" sheetId="12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R57_2007">[1]Parâmetros!#REF!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>[3]DRE!#REF!</definedName>
    <definedName name="BaseIR">#REF!</definedName>
    <definedName name="Beneficio">'[2]P-Indices'!$D$20</definedName>
    <definedName name="Capacitação">'[2]P-Indices'!$D$18</definedName>
    <definedName name="CAPM">#REF!</definedName>
    <definedName name="CRA">'[2]C-Teleatendimento'!$D$9</definedName>
    <definedName name="CS_NEG">#REF!</definedName>
    <definedName name="CS_PERC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>#REF!</definedName>
    <definedName name="gfhfgh">'[2]E-AdmSist'!$D$44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>#REF!</definedName>
    <definedName name="Lig_Ativ_Esg">'[2]E-Economias'!$J$39</definedName>
    <definedName name="Ligacoes_Tot">'[2]E-Economias'!$J$26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>[4]Controle!#REF!</definedName>
    <definedName name="moeda">#REF!</definedName>
    <definedName name="o">'[5]T-Bonds'!$E$6</definedName>
    <definedName name="Pensao">'[2]P-Indices'!$D$21</definedName>
    <definedName name="PeriodoTaxa">#REF!</definedName>
    <definedName name="perpetuo">[3]DRE!#REF!</definedName>
    <definedName name="ponderada_abaixo">#REF!</definedName>
    <definedName name="ponderada_acima">#REF!</definedName>
    <definedName name="ponderada_simples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>#REF!</definedName>
    <definedName name="_xlnm.Print_Titles">#REF!</definedName>
    <definedName name="TMA">'[2]E-Estrutura'!$D$457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71027"/>
</workbook>
</file>

<file path=xl/calcChain.xml><?xml version="1.0" encoding="utf-8"?>
<calcChain xmlns="http://schemas.openxmlformats.org/spreadsheetml/2006/main">
  <c r="D20" i="20" l="1"/>
  <c r="D23" i="20" s="1"/>
  <c r="D25" i="20" s="1"/>
  <c r="H21" i="15" l="1"/>
  <c r="H22" i="15" l="1"/>
  <c r="D29" i="20" l="1"/>
  <c r="D32" i="20"/>
  <c r="D26" i="20" s="1"/>
  <c r="C10" i="20"/>
  <c r="C12" i="20" l="1"/>
  <c r="C13" i="20" l="1"/>
  <c r="D21" i="15" l="1"/>
  <c r="H74" i="19" l="1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G15" i="19" l="1"/>
  <c r="G17" i="19"/>
  <c r="G62" i="19"/>
  <c r="B10" i="19" l="1"/>
  <c r="B11" i="19"/>
  <c r="H20" i="15"/>
  <c r="D20" i="15" s="1"/>
  <c r="H19" i="15"/>
  <c r="C19" i="19"/>
  <c r="C23" i="19"/>
  <c r="C31" i="19"/>
  <c r="C52" i="19"/>
  <c r="C58" i="19" s="1"/>
  <c r="C63" i="19" s="1"/>
  <c r="D22" i="15"/>
  <c r="D19" i="15" l="1"/>
  <c r="H23" i="15"/>
  <c r="C38" i="19"/>
  <c r="G38" i="19" s="1"/>
  <c r="C42" i="19" l="1"/>
  <c r="C46" i="19" s="1"/>
  <c r="C50" i="19" l="1"/>
  <c r="C60" i="19" s="1"/>
  <c r="C67" i="19" s="1"/>
  <c r="C10" i="19" l="1"/>
  <c r="C69" i="19"/>
  <c r="C11" i="19" s="1"/>
  <c r="Y12" i="17" l="1"/>
  <c r="Y10" i="17"/>
  <c r="Y7" i="17"/>
  <c r="X7" i="17"/>
  <c r="Y11" i="17" l="1"/>
  <c r="Y15" i="17" l="1"/>
  <c r="Y14" i="17"/>
  <c r="Y13" i="17"/>
  <c r="Y16" i="17" l="1"/>
  <c r="D23" i="15"/>
  <c r="B10" i="11"/>
  <c r="B11" i="11" s="1"/>
  <c r="B12" i="11" s="1"/>
  <c r="B13" i="11" l="1"/>
  <c r="W7" i="17"/>
  <c r="V7" i="17"/>
  <c r="U7" i="17"/>
  <c r="T7" i="17"/>
  <c r="S7" i="17"/>
  <c r="R7" i="17"/>
  <c r="Q7" i="17"/>
  <c r="P7" i="17"/>
  <c r="O7" i="17"/>
  <c r="N7" i="17"/>
  <c r="Z4" i="17"/>
  <c r="Z5" i="17"/>
  <c r="Z6" i="17"/>
  <c r="Z8" i="17"/>
  <c r="Z9" i="17"/>
  <c r="Z10" i="17" l="1"/>
  <c r="Z7" i="17"/>
  <c r="B14" i="11"/>
  <c r="C13" i="17"/>
  <c r="C16" i="17" s="1"/>
  <c r="D19" i="16"/>
  <c r="C19" i="16"/>
  <c r="D18" i="16"/>
  <c r="C18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34" i="11"/>
  <c r="Z11" i="17" l="1"/>
  <c r="B15" i="11"/>
  <c r="K15" i="8"/>
  <c r="K15" i="7"/>
  <c r="K15" i="6"/>
  <c r="E6" i="9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6" i="8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6" i="7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6" i="6"/>
  <c r="E7" i="6" s="1"/>
  <c r="E8" i="6" s="1"/>
  <c r="E9" i="6" s="1"/>
  <c r="E10" i="6" s="1"/>
  <c r="E11" i="6" s="1"/>
  <c r="E12" i="6" s="1"/>
  <c r="B16" i="11" l="1"/>
  <c r="P10" i="4"/>
  <c r="B17" i="11" l="1"/>
  <c r="B18" i="11" l="1"/>
  <c r="B19" i="11" l="1"/>
  <c r="I14" i="17"/>
  <c r="I13" i="17"/>
  <c r="I12" i="17"/>
  <c r="I11" i="17"/>
  <c r="I10" i="17"/>
  <c r="I9" i="17"/>
  <c r="I8" i="17"/>
  <c r="I7" i="17"/>
  <c r="I6" i="17"/>
  <c r="I5" i="17"/>
  <c r="I4" i="17"/>
  <c r="B20" i="11" l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E13" i="6"/>
  <c r="E14" i="6" s="1"/>
  <c r="E15" i="6" s="1"/>
  <c r="E16" i="6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I15" i="17" l="1"/>
  <c r="D22" i="2"/>
  <c r="O80" i="4" l="1"/>
  <c r="O77" i="4"/>
  <c r="O74" i="4"/>
  <c r="O71" i="4"/>
  <c r="O62" i="4"/>
  <c r="N80" i="4"/>
  <c r="N77" i="4"/>
  <c r="N74" i="4"/>
  <c r="N71" i="4"/>
  <c r="N62" i="4"/>
  <c r="M80" i="4"/>
  <c r="M77" i="4"/>
  <c r="M74" i="4"/>
  <c r="M71" i="4"/>
  <c r="M62" i="4"/>
  <c r="L80" i="4"/>
  <c r="L77" i="4"/>
  <c r="L74" i="4"/>
  <c r="L71" i="4"/>
  <c r="L62" i="4"/>
  <c r="K80" i="4"/>
  <c r="K77" i="4"/>
  <c r="K74" i="4"/>
  <c r="K71" i="4"/>
  <c r="K62" i="4"/>
  <c r="J80" i="4"/>
  <c r="J77" i="4"/>
  <c r="J74" i="4"/>
  <c r="J71" i="4"/>
  <c r="J62" i="4"/>
  <c r="I80" i="4"/>
  <c r="I77" i="4"/>
  <c r="I74" i="4"/>
  <c r="I71" i="4"/>
  <c r="I62" i="4"/>
  <c r="H80" i="4"/>
  <c r="H77" i="4"/>
  <c r="H74" i="4"/>
  <c r="H71" i="4"/>
  <c r="H62" i="4"/>
  <c r="G80" i="4"/>
  <c r="G77" i="4"/>
  <c r="G74" i="4"/>
  <c r="G71" i="4"/>
  <c r="G62" i="4"/>
  <c r="F80" i="4"/>
  <c r="F77" i="4"/>
  <c r="F74" i="4"/>
  <c r="F71" i="4"/>
  <c r="F62" i="4"/>
  <c r="E80" i="4"/>
  <c r="E77" i="4"/>
  <c r="E74" i="4"/>
  <c r="E71" i="4"/>
  <c r="E62" i="4"/>
  <c r="D80" i="4"/>
  <c r="D77" i="4"/>
  <c r="D74" i="4"/>
  <c r="D71" i="4"/>
  <c r="D62" i="4"/>
  <c r="O49" i="4"/>
  <c r="O46" i="4"/>
  <c r="O43" i="4"/>
  <c r="O40" i="4"/>
  <c r="O31" i="4"/>
  <c r="N49" i="4"/>
  <c r="N46" i="4"/>
  <c r="N43" i="4"/>
  <c r="N40" i="4"/>
  <c r="N31" i="4"/>
  <c r="M49" i="4"/>
  <c r="M46" i="4"/>
  <c r="M43" i="4"/>
  <c r="M40" i="4"/>
  <c r="M31" i="4"/>
  <c r="L49" i="4"/>
  <c r="L46" i="4"/>
  <c r="L43" i="4"/>
  <c r="L40" i="4"/>
  <c r="L31" i="4"/>
  <c r="K49" i="4"/>
  <c r="K46" i="4"/>
  <c r="K43" i="4"/>
  <c r="K40" i="4"/>
  <c r="K31" i="4"/>
  <c r="J49" i="4"/>
  <c r="J46" i="4"/>
  <c r="J43" i="4"/>
  <c r="J40" i="4"/>
  <c r="J31" i="4"/>
  <c r="I49" i="4"/>
  <c r="I46" i="4"/>
  <c r="I43" i="4"/>
  <c r="I40" i="4"/>
  <c r="I31" i="4"/>
  <c r="H49" i="4"/>
  <c r="H46" i="4"/>
  <c r="H43" i="4"/>
  <c r="H40" i="4"/>
  <c r="H31" i="4"/>
  <c r="G49" i="4"/>
  <c r="G46" i="4"/>
  <c r="G43" i="4"/>
  <c r="G40" i="4"/>
  <c r="G31" i="4"/>
  <c r="F49" i="4"/>
  <c r="F46" i="4"/>
  <c r="F43" i="4"/>
  <c r="F40" i="4"/>
  <c r="F31" i="4"/>
  <c r="E49" i="4"/>
  <c r="E46" i="4"/>
  <c r="E43" i="4"/>
  <c r="E40" i="4"/>
  <c r="E31" i="4"/>
  <c r="D49" i="4"/>
  <c r="D46" i="4"/>
  <c r="D43" i="4"/>
  <c r="D40" i="4"/>
  <c r="D31" i="4"/>
  <c r="D50" i="4" l="1"/>
  <c r="L50" i="4"/>
  <c r="F50" i="4"/>
  <c r="J50" i="4"/>
  <c r="N50" i="4"/>
  <c r="D81" i="4"/>
  <c r="F81" i="4"/>
  <c r="H81" i="4"/>
  <c r="J81" i="4"/>
  <c r="L81" i="4"/>
  <c r="N81" i="4"/>
  <c r="E50" i="4"/>
  <c r="G50" i="4"/>
  <c r="H50" i="4"/>
  <c r="I50" i="4"/>
  <c r="K50" i="4"/>
  <c r="M50" i="4"/>
  <c r="O50" i="4"/>
  <c r="E81" i="4"/>
  <c r="G81" i="4"/>
  <c r="I81" i="4"/>
  <c r="K81" i="4"/>
  <c r="M81" i="4"/>
  <c r="O81" i="4"/>
  <c r="C23" i="14"/>
  <c r="C12" i="14"/>
  <c r="C13" i="14"/>
  <c r="C11" i="14"/>
  <c r="C10" i="14"/>
  <c r="C9" i="14"/>
  <c r="F11" i="10"/>
  <c r="E11" i="10"/>
  <c r="D11" i="10"/>
  <c r="C11" i="10"/>
  <c r="K15" i="9"/>
  <c r="F13" i="10" s="1"/>
  <c r="E13" i="10"/>
  <c r="D13" i="10"/>
  <c r="C13" i="10"/>
  <c r="X12" i="17" l="1"/>
  <c r="W12" i="17"/>
  <c r="V12" i="17"/>
  <c r="U12" i="17"/>
  <c r="T12" i="17"/>
  <c r="S12" i="17"/>
  <c r="R12" i="17"/>
  <c r="Q12" i="17"/>
  <c r="P12" i="17"/>
  <c r="O12" i="17"/>
  <c r="N12" i="17"/>
  <c r="X10" i="17"/>
  <c r="W10" i="17"/>
  <c r="V10" i="17"/>
  <c r="U10" i="17"/>
  <c r="T10" i="17"/>
  <c r="S10" i="17"/>
  <c r="R10" i="17"/>
  <c r="Q10" i="17"/>
  <c r="P10" i="17"/>
  <c r="O10" i="17"/>
  <c r="N10" i="17"/>
  <c r="M2" i="17"/>
  <c r="C14" i="14"/>
  <c r="H9" i="11"/>
  <c r="C34" i="11"/>
  <c r="G9" i="11" s="1"/>
  <c r="D21" i="11"/>
  <c r="H10" i="11" s="1"/>
  <c r="C21" i="11"/>
  <c r="G10" i="11" s="1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O110" i="4"/>
  <c r="N110" i="4"/>
  <c r="M110" i="4"/>
  <c r="L110" i="4"/>
  <c r="K110" i="4"/>
  <c r="J110" i="4"/>
  <c r="I110" i="4"/>
  <c r="H110" i="4"/>
  <c r="G110" i="4"/>
  <c r="F110" i="4"/>
  <c r="E110" i="4"/>
  <c r="D110" i="4"/>
  <c r="O109" i="4"/>
  <c r="N109" i="4"/>
  <c r="M109" i="4"/>
  <c r="L109" i="4"/>
  <c r="K109" i="4"/>
  <c r="J109" i="4"/>
  <c r="J111" i="4" s="1"/>
  <c r="I109" i="4"/>
  <c r="H109" i="4"/>
  <c r="G109" i="4"/>
  <c r="F109" i="4"/>
  <c r="E109" i="4"/>
  <c r="D109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O106" i="4"/>
  <c r="N106" i="4"/>
  <c r="M106" i="4"/>
  <c r="L106" i="4"/>
  <c r="K106" i="4"/>
  <c r="J106" i="4"/>
  <c r="J108" i="4" s="1"/>
  <c r="I106" i="4"/>
  <c r="I108" i="4" s="1"/>
  <c r="H106" i="4"/>
  <c r="H108" i="4" s="1"/>
  <c r="G106" i="4"/>
  <c r="F106" i="4"/>
  <c r="E106" i="4"/>
  <c r="D106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O103" i="4"/>
  <c r="N103" i="4"/>
  <c r="M103" i="4"/>
  <c r="L103" i="4"/>
  <c r="K103" i="4"/>
  <c r="J103" i="4"/>
  <c r="J105" i="4" s="1"/>
  <c r="I103" i="4"/>
  <c r="I105" i="4" s="1"/>
  <c r="H103" i="4"/>
  <c r="G103" i="4"/>
  <c r="F103" i="4"/>
  <c r="E103" i="4"/>
  <c r="D103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O99" i="4"/>
  <c r="N99" i="4"/>
  <c r="M99" i="4"/>
  <c r="L99" i="4"/>
  <c r="K99" i="4"/>
  <c r="J99" i="4"/>
  <c r="I99" i="4"/>
  <c r="H99" i="4"/>
  <c r="G99" i="4"/>
  <c r="F99" i="4"/>
  <c r="E99" i="4"/>
  <c r="D99" i="4"/>
  <c r="O98" i="4"/>
  <c r="N98" i="4"/>
  <c r="M98" i="4"/>
  <c r="L98" i="4"/>
  <c r="K98" i="4"/>
  <c r="J98" i="4"/>
  <c r="I98" i="4"/>
  <c r="H98" i="4"/>
  <c r="G98" i="4"/>
  <c r="F98" i="4"/>
  <c r="E98" i="4"/>
  <c r="D98" i="4"/>
  <c r="O97" i="4"/>
  <c r="N97" i="4"/>
  <c r="M97" i="4"/>
  <c r="L97" i="4"/>
  <c r="K97" i="4"/>
  <c r="J97" i="4"/>
  <c r="I97" i="4"/>
  <c r="H97" i="4"/>
  <c r="G97" i="4"/>
  <c r="F97" i="4"/>
  <c r="E97" i="4"/>
  <c r="D97" i="4"/>
  <c r="O96" i="4"/>
  <c r="N96" i="4"/>
  <c r="M96" i="4"/>
  <c r="L96" i="4"/>
  <c r="K96" i="4"/>
  <c r="J96" i="4"/>
  <c r="I96" i="4"/>
  <c r="H96" i="4"/>
  <c r="G96" i="4"/>
  <c r="F96" i="4"/>
  <c r="E96" i="4"/>
  <c r="D96" i="4"/>
  <c r="O95" i="4"/>
  <c r="N95" i="4"/>
  <c r="M95" i="4"/>
  <c r="L95" i="4"/>
  <c r="K95" i="4"/>
  <c r="J95" i="4"/>
  <c r="I95" i="4"/>
  <c r="H95" i="4"/>
  <c r="G95" i="4"/>
  <c r="F95" i="4"/>
  <c r="E95" i="4"/>
  <c r="D95" i="4"/>
  <c r="O94" i="4"/>
  <c r="N94" i="4"/>
  <c r="M94" i="4"/>
  <c r="L94" i="4"/>
  <c r="K94" i="4"/>
  <c r="J94" i="4"/>
  <c r="I94" i="4"/>
  <c r="I102" i="4" s="1"/>
  <c r="H94" i="4"/>
  <c r="G94" i="4"/>
  <c r="F94" i="4"/>
  <c r="E94" i="4"/>
  <c r="D94" i="4"/>
  <c r="O92" i="4"/>
  <c r="N92" i="4"/>
  <c r="M92" i="4"/>
  <c r="L92" i="4"/>
  <c r="K92" i="4"/>
  <c r="J92" i="4"/>
  <c r="I92" i="4"/>
  <c r="H92" i="4"/>
  <c r="G92" i="4"/>
  <c r="F92" i="4"/>
  <c r="E92" i="4"/>
  <c r="D92" i="4"/>
  <c r="O91" i="4"/>
  <c r="N91" i="4"/>
  <c r="M91" i="4"/>
  <c r="L91" i="4"/>
  <c r="K91" i="4"/>
  <c r="J91" i="4"/>
  <c r="I91" i="4"/>
  <c r="H91" i="4"/>
  <c r="G91" i="4"/>
  <c r="F91" i="4"/>
  <c r="E91" i="4"/>
  <c r="D91" i="4"/>
  <c r="O90" i="4"/>
  <c r="N90" i="4"/>
  <c r="M90" i="4"/>
  <c r="L90" i="4"/>
  <c r="K90" i="4"/>
  <c r="J90" i="4"/>
  <c r="I90" i="4"/>
  <c r="H90" i="4"/>
  <c r="G90" i="4"/>
  <c r="F90" i="4"/>
  <c r="E90" i="4"/>
  <c r="D90" i="4"/>
  <c r="O89" i="4"/>
  <c r="N89" i="4"/>
  <c r="M89" i="4"/>
  <c r="L89" i="4"/>
  <c r="K89" i="4"/>
  <c r="J89" i="4"/>
  <c r="I89" i="4"/>
  <c r="H89" i="4"/>
  <c r="G89" i="4"/>
  <c r="F89" i="4"/>
  <c r="E89" i="4"/>
  <c r="D89" i="4"/>
  <c r="O88" i="4"/>
  <c r="N88" i="4"/>
  <c r="M88" i="4"/>
  <c r="L88" i="4"/>
  <c r="K88" i="4"/>
  <c r="J88" i="4"/>
  <c r="I88" i="4"/>
  <c r="H88" i="4"/>
  <c r="G88" i="4"/>
  <c r="F88" i="4"/>
  <c r="E88" i="4"/>
  <c r="D88" i="4"/>
  <c r="O87" i="4"/>
  <c r="N87" i="4"/>
  <c r="M87" i="4"/>
  <c r="L87" i="4"/>
  <c r="K87" i="4"/>
  <c r="J87" i="4"/>
  <c r="I87" i="4"/>
  <c r="H87" i="4"/>
  <c r="G87" i="4"/>
  <c r="F87" i="4"/>
  <c r="E87" i="4"/>
  <c r="D87" i="4"/>
  <c r="O86" i="4"/>
  <c r="N86" i="4"/>
  <c r="M86" i="4"/>
  <c r="L86" i="4"/>
  <c r="K86" i="4"/>
  <c r="J86" i="4"/>
  <c r="I86" i="4"/>
  <c r="H86" i="4"/>
  <c r="G86" i="4"/>
  <c r="F86" i="4"/>
  <c r="E86" i="4"/>
  <c r="D86" i="4"/>
  <c r="O85" i="4"/>
  <c r="N85" i="4"/>
  <c r="M85" i="4"/>
  <c r="L85" i="4"/>
  <c r="K85" i="4"/>
  <c r="J85" i="4"/>
  <c r="J93" i="4" s="1"/>
  <c r="I85" i="4"/>
  <c r="I93" i="4" s="1"/>
  <c r="H85" i="4"/>
  <c r="G85" i="4"/>
  <c r="F85" i="4"/>
  <c r="E85" i="4"/>
  <c r="D85" i="4"/>
  <c r="P79" i="4"/>
  <c r="P78" i="4"/>
  <c r="P76" i="4"/>
  <c r="P75" i="4"/>
  <c r="P73" i="4"/>
  <c r="P72" i="4"/>
  <c r="P70" i="4"/>
  <c r="P69" i="4"/>
  <c r="P68" i="4"/>
  <c r="P67" i="4"/>
  <c r="P66" i="4"/>
  <c r="P65" i="4"/>
  <c r="P64" i="4"/>
  <c r="P63" i="4"/>
  <c r="P61" i="4"/>
  <c r="P60" i="4"/>
  <c r="P59" i="4"/>
  <c r="P58" i="4"/>
  <c r="P57" i="4"/>
  <c r="P56" i="4"/>
  <c r="P55" i="4"/>
  <c r="P54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O22" i="4"/>
  <c r="O53" i="4" s="1"/>
  <c r="O84" i="4" s="1"/>
  <c r="N22" i="4"/>
  <c r="N53" i="4" s="1"/>
  <c r="N84" i="4" s="1"/>
  <c r="M22" i="4"/>
  <c r="M53" i="4" s="1"/>
  <c r="M84" i="4" s="1"/>
  <c r="L22" i="4"/>
  <c r="L53" i="4" s="1"/>
  <c r="L84" i="4" s="1"/>
  <c r="K22" i="4"/>
  <c r="K53" i="4" s="1"/>
  <c r="K84" i="4" s="1"/>
  <c r="J22" i="4"/>
  <c r="J53" i="4" s="1"/>
  <c r="J84" i="4" s="1"/>
  <c r="I22" i="4"/>
  <c r="I53" i="4" s="1"/>
  <c r="I84" i="4" s="1"/>
  <c r="H22" i="4"/>
  <c r="H53" i="4" s="1"/>
  <c r="H84" i="4" s="1"/>
  <c r="G22" i="4"/>
  <c r="G53" i="4" s="1"/>
  <c r="G84" i="4" s="1"/>
  <c r="F22" i="4"/>
  <c r="F53" i="4" s="1"/>
  <c r="F84" i="4" s="1"/>
  <c r="E22" i="4"/>
  <c r="E53" i="4" s="1"/>
  <c r="E84" i="4" s="1"/>
  <c r="D22" i="4"/>
  <c r="D53" i="4" s="1"/>
  <c r="D84" i="4" s="1"/>
  <c r="O12" i="4"/>
  <c r="N12" i="4"/>
  <c r="M12" i="4"/>
  <c r="L12" i="4"/>
  <c r="K12" i="4"/>
  <c r="J12" i="4"/>
  <c r="I12" i="4"/>
  <c r="H12" i="4"/>
  <c r="G12" i="4"/>
  <c r="F12" i="4"/>
  <c r="E12" i="4"/>
  <c r="D12" i="4"/>
  <c r="P11" i="4"/>
  <c r="C18" i="13" s="1"/>
  <c r="E22" i="2"/>
  <c r="E11" i="14" s="1"/>
  <c r="E12" i="14" s="1"/>
  <c r="E13" i="14"/>
  <c r="C22" i="2"/>
  <c r="E9" i="14" s="1"/>
  <c r="U11" i="17" l="1"/>
  <c r="U14" i="17" s="1"/>
  <c r="N11" i="17"/>
  <c r="O11" i="17"/>
  <c r="W11" i="17"/>
  <c r="P11" i="17"/>
  <c r="X11" i="17"/>
  <c r="T11" i="17"/>
  <c r="V11" i="17"/>
  <c r="R11" i="17"/>
  <c r="Q11" i="17"/>
  <c r="S11" i="17"/>
  <c r="O108" i="4"/>
  <c r="N102" i="4"/>
  <c r="I111" i="4"/>
  <c r="I112" i="4" s="1"/>
  <c r="H9" i="17" s="1"/>
  <c r="G9" i="17" s="1"/>
  <c r="H102" i="4"/>
  <c r="G108" i="4"/>
  <c r="F102" i="4"/>
  <c r="D111" i="4"/>
  <c r="L111" i="4"/>
  <c r="K111" i="4"/>
  <c r="G105" i="4"/>
  <c r="O105" i="4"/>
  <c r="H105" i="4"/>
  <c r="D102" i="4"/>
  <c r="L102" i="4"/>
  <c r="E102" i="4"/>
  <c r="M102" i="4"/>
  <c r="K102" i="4"/>
  <c r="K93" i="4"/>
  <c r="D93" i="4"/>
  <c r="L93" i="4"/>
  <c r="G111" i="4"/>
  <c r="O111" i="4"/>
  <c r="H111" i="4"/>
  <c r="E111" i="4"/>
  <c r="M111" i="4"/>
  <c r="F111" i="4"/>
  <c r="N111" i="4"/>
  <c r="D108" i="4"/>
  <c r="L108" i="4"/>
  <c r="E108" i="4"/>
  <c r="M108" i="4"/>
  <c r="K108" i="4"/>
  <c r="F108" i="4"/>
  <c r="N108" i="4"/>
  <c r="D105" i="4"/>
  <c r="L105" i="4"/>
  <c r="K105" i="4"/>
  <c r="E105" i="4"/>
  <c r="M105" i="4"/>
  <c r="F105" i="4"/>
  <c r="N105" i="4"/>
  <c r="G102" i="4"/>
  <c r="O102" i="4"/>
  <c r="J102" i="4"/>
  <c r="J112" i="4" s="1"/>
  <c r="H10" i="17" s="1"/>
  <c r="G10" i="17" s="1"/>
  <c r="G93" i="4"/>
  <c r="O93" i="4"/>
  <c r="H93" i="4"/>
  <c r="E93" i="4"/>
  <c r="M93" i="4"/>
  <c r="F93" i="4"/>
  <c r="N93" i="4"/>
  <c r="K12" i="8"/>
  <c r="E10" i="10" s="1"/>
  <c r="K12" i="9"/>
  <c r="K14" i="9" s="1"/>
  <c r="P12" i="4"/>
  <c r="C17" i="13"/>
  <c r="C19" i="13" s="1"/>
  <c r="P71" i="4"/>
  <c r="P77" i="4"/>
  <c r="P74" i="4"/>
  <c r="P80" i="4"/>
  <c r="P86" i="4"/>
  <c r="P87" i="4"/>
  <c r="P88" i="4"/>
  <c r="P89" i="4"/>
  <c r="P90" i="4"/>
  <c r="P91" i="4"/>
  <c r="P92" i="4"/>
  <c r="P95" i="4"/>
  <c r="P96" i="4"/>
  <c r="P97" i="4"/>
  <c r="P98" i="4"/>
  <c r="P99" i="4"/>
  <c r="P100" i="4"/>
  <c r="P101" i="4"/>
  <c r="P104" i="4"/>
  <c r="P107" i="4"/>
  <c r="P110" i="4"/>
  <c r="Z12" i="17"/>
  <c r="K12" i="7"/>
  <c r="K12" i="6"/>
  <c r="I9" i="11"/>
  <c r="I10" i="11"/>
  <c r="D20" i="12"/>
  <c r="E14" i="12" s="1"/>
  <c r="D13" i="14" s="1"/>
  <c r="F13" i="14" s="1"/>
  <c r="N14" i="17"/>
  <c r="E11" i="12"/>
  <c r="D9" i="14" s="1"/>
  <c r="C20" i="12"/>
  <c r="P50" i="4"/>
  <c r="C10" i="13" s="1"/>
  <c r="P62" i="4"/>
  <c r="P85" i="4"/>
  <c r="P103" i="4"/>
  <c r="P109" i="4"/>
  <c r="P94" i="4"/>
  <c r="P106" i="4"/>
  <c r="U13" i="17" l="1"/>
  <c r="W14" i="17"/>
  <c r="V14" i="17"/>
  <c r="T15" i="17"/>
  <c r="X15" i="17"/>
  <c r="P15" i="17"/>
  <c r="S15" i="17"/>
  <c r="O13" i="17"/>
  <c r="Q14" i="17"/>
  <c r="N13" i="17"/>
  <c r="R13" i="17"/>
  <c r="U15" i="17"/>
  <c r="E13" i="12"/>
  <c r="D11" i="14" s="1"/>
  <c r="F11" i="14" s="1"/>
  <c r="R14" i="17"/>
  <c r="X14" i="17"/>
  <c r="S14" i="17"/>
  <c r="Q13" i="17"/>
  <c r="T14" i="17"/>
  <c r="Q15" i="17"/>
  <c r="P13" i="17"/>
  <c r="W15" i="17"/>
  <c r="W13" i="17"/>
  <c r="V13" i="17"/>
  <c r="V15" i="17"/>
  <c r="O14" i="17"/>
  <c r="N15" i="17"/>
  <c r="R15" i="17"/>
  <c r="X13" i="17"/>
  <c r="T13" i="17"/>
  <c r="S13" i="17"/>
  <c r="O15" i="17"/>
  <c r="P14" i="17"/>
  <c r="F10" i="10"/>
  <c r="K14" i="8"/>
  <c r="H112" i="4"/>
  <c r="H8" i="17" s="1"/>
  <c r="G8" i="17" s="1"/>
  <c r="P81" i="4"/>
  <c r="C11" i="13" s="1"/>
  <c r="C12" i="13" s="1"/>
  <c r="P111" i="4"/>
  <c r="P108" i="4"/>
  <c r="D112" i="4"/>
  <c r="H4" i="17" s="1"/>
  <c r="G4" i="17" s="1"/>
  <c r="P105" i="4"/>
  <c r="M112" i="4"/>
  <c r="H13" i="17" s="1"/>
  <c r="E112" i="4"/>
  <c r="H5" i="17" s="1"/>
  <c r="G5" i="17" s="1"/>
  <c r="K112" i="4"/>
  <c r="H11" i="17" s="1"/>
  <c r="G11" i="17" s="1"/>
  <c r="L112" i="4"/>
  <c r="H12" i="17" s="1"/>
  <c r="G12" i="17" s="1"/>
  <c r="N112" i="4"/>
  <c r="H14" i="17" s="1"/>
  <c r="G14" i="17" s="1"/>
  <c r="F112" i="4"/>
  <c r="H6" i="17" s="1"/>
  <c r="G6" i="17" s="1"/>
  <c r="P102" i="4"/>
  <c r="O112" i="4"/>
  <c r="H15" i="17" s="1"/>
  <c r="G15" i="17" s="1"/>
  <c r="G112" i="4"/>
  <c r="H7" i="17" s="1"/>
  <c r="G7" i="17" s="1"/>
  <c r="P93" i="4"/>
  <c r="K14" i="7"/>
  <c r="D10" i="10"/>
  <c r="E15" i="12"/>
  <c r="D12" i="14" s="1"/>
  <c r="F12" i="14" s="1"/>
  <c r="F9" i="14"/>
  <c r="K14" i="6"/>
  <c r="C10" i="10"/>
  <c r="K16" i="9"/>
  <c r="F14" i="10" s="1"/>
  <c r="F12" i="10"/>
  <c r="I11" i="11"/>
  <c r="E10" i="14" s="1"/>
  <c r="E12" i="12"/>
  <c r="F15" i="17"/>
  <c r="S16" i="17" l="1"/>
  <c r="F9" i="17" s="1"/>
  <c r="J9" i="17" s="1"/>
  <c r="U16" i="17"/>
  <c r="F11" i="17" s="1"/>
  <c r="J11" i="17" s="1"/>
  <c r="Q16" i="17"/>
  <c r="T16" i="17"/>
  <c r="O16" i="17"/>
  <c r="V16" i="17"/>
  <c r="P16" i="17"/>
  <c r="X16" i="17"/>
  <c r="W16" i="17"/>
  <c r="J15" i="17"/>
  <c r="G13" i="17"/>
  <c r="G16" i="17" s="1"/>
  <c r="H16" i="17"/>
  <c r="C12" i="17" s="1"/>
  <c r="Z13" i="17"/>
  <c r="Z14" i="17"/>
  <c r="R16" i="17"/>
  <c r="Z15" i="17"/>
  <c r="N16" i="17"/>
  <c r="E12" i="10"/>
  <c r="K16" i="8"/>
  <c r="E14" i="10" s="1"/>
  <c r="P112" i="4"/>
  <c r="H35" i="15" s="1"/>
  <c r="E16" i="12"/>
  <c r="D10" i="14"/>
  <c r="D14" i="14" s="1"/>
  <c r="K16" i="6"/>
  <c r="C14" i="10" s="1"/>
  <c r="C12" i="10"/>
  <c r="K16" i="7"/>
  <c r="D14" i="10" s="1"/>
  <c r="D12" i="10"/>
  <c r="F4" i="17" l="1"/>
  <c r="J4" i="17" s="1"/>
  <c r="F5" i="17"/>
  <c r="J5" i="17" s="1"/>
  <c r="F14" i="17"/>
  <c r="J14" i="17" s="1"/>
  <c r="F6" i="17"/>
  <c r="J6" i="17" s="1"/>
  <c r="F10" i="17"/>
  <c r="J10" i="17" s="1"/>
  <c r="F8" i="17"/>
  <c r="J8" i="17" s="1"/>
  <c r="F13" i="17"/>
  <c r="J13" i="17" s="1"/>
  <c r="F12" i="17"/>
  <c r="J12" i="17" s="1"/>
  <c r="F7" i="17"/>
  <c r="J7" i="17" s="1"/>
  <c r="Z16" i="17"/>
  <c r="G10" i="10"/>
  <c r="H30" i="15" s="1"/>
  <c r="D30" i="15" s="1"/>
  <c r="F10" i="14"/>
  <c r="F16" i="17" l="1"/>
  <c r="J16" i="17"/>
  <c r="C11" i="17" s="1"/>
  <c r="F14" i="14"/>
  <c r="F15" i="14"/>
  <c r="C18" i="14" s="1"/>
  <c r="C20" i="14" s="1"/>
  <c r="C24" i="14" s="1"/>
  <c r="C10" i="17" l="1"/>
  <c r="H32" i="15"/>
  <c r="D32" i="15" s="1"/>
  <c r="D31" i="15"/>
  <c r="H31" i="15" s="1"/>
  <c r="C13" i="13" l="1"/>
  <c r="C14" i="13" s="1"/>
  <c r="C20" i="13" l="1"/>
  <c r="C21" i="13" s="1"/>
  <c r="C23" i="13" l="1"/>
  <c r="H29" i="15" s="1"/>
  <c r="H33" i="15" l="1"/>
  <c r="D29" i="15"/>
  <c r="D33" i="15" s="1"/>
  <c r="D34" i="15" s="1"/>
  <c r="D21" i="16" s="1"/>
  <c r="G12" i="16" l="1"/>
  <c r="H19" i="16"/>
  <c r="H12" i="16"/>
  <c r="H9" i="16"/>
  <c r="H10" i="16"/>
  <c r="G14" i="16"/>
  <c r="G13" i="16"/>
  <c r="G18" i="16"/>
  <c r="H14" i="16"/>
  <c r="G10" i="16"/>
  <c r="H13" i="16"/>
  <c r="G19" i="16"/>
  <c r="G9" i="16"/>
  <c r="H18" i="16"/>
  <c r="G11" i="16"/>
  <c r="H11" i="16"/>
</calcChain>
</file>

<file path=xl/comments1.xml><?xml version="1.0" encoding="utf-8"?>
<comments xmlns="http://schemas.openxmlformats.org/spreadsheetml/2006/main">
  <authors>
    <author>CLAUDIA PORTAL</author>
  </authors>
  <commentList>
    <comment ref="B13" authorId="0" shapeId="0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<sst xmlns="http://schemas.openxmlformats.org/spreadsheetml/2006/main" count="582" uniqueCount="360">
  <si>
    <t>Para Atividades Residenciais</t>
    <phoneticPr fontId="0" type="noConversion"/>
  </si>
  <si>
    <r>
      <t>Faixa de Consumo (m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</si>
  <si>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t>Tarifa Popular (R$)</t>
  </si>
  <si>
    <t>Tarifa Normal (R$)</t>
  </si>
  <si>
    <t>0 a 10</t>
  </si>
  <si>
    <t>11 a 15</t>
  </si>
  <si>
    <t>16 a 25</t>
  </si>
  <si>
    <t>26 a 35</t>
  </si>
  <si>
    <t>36 a 50</t>
  </si>
  <si>
    <t>Acima de 50</t>
  </si>
  <si>
    <t xml:space="preserve">Para Atividades Comerciais, Públicas e Industriais: Reajuste </t>
    <phoneticPr fontId="0" type="noConversion"/>
  </si>
  <si>
    <t>Tarifa Comercial e Pública (R$)</t>
  </si>
  <si>
    <t>Tarifa Industrial (R$)</t>
  </si>
  <si>
    <t>Acima de 10</t>
  </si>
  <si>
    <t>Índices Econômicos</t>
    <phoneticPr fontId="0" type="noConversion"/>
  </si>
  <si>
    <t>Meses</t>
    <phoneticPr fontId="0" type="noConversion"/>
  </si>
  <si>
    <t>INPC</t>
    <phoneticPr fontId="0" type="noConversion"/>
  </si>
  <si>
    <t>IPCA</t>
    <phoneticPr fontId="0" type="noConversion"/>
  </si>
  <si>
    <t>IGPM</t>
    <phoneticPr fontId="0" type="noConversion"/>
  </si>
  <si>
    <t>Índice Acumulado (%)</t>
  </si>
  <si>
    <t>Fonte: www.ipeadata.gov.br</t>
  </si>
  <si>
    <t>Categoria</t>
  </si>
  <si>
    <t>Faixa</t>
  </si>
  <si>
    <t>Total</t>
  </si>
  <si>
    <t>Residencial Normal</t>
  </si>
  <si>
    <t>0 - 10</t>
  </si>
  <si>
    <t xml:space="preserve">36 a 50 </t>
  </si>
  <si>
    <t>51 a 70</t>
  </si>
  <si>
    <t>71 a 100</t>
  </si>
  <si>
    <t>&gt; 100</t>
  </si>
  <si>
    <t>Sub-total</t>
  </si>
  <si>
    <t>Residencial Popular</t>
  </si>
  <si>
    <t>0   -   10</t>
  </si>
  <si>
    <t>11  a  15</t>
  </si>
  <si>
    <t>16  a  25</t>
  </si>
  <si>
    <t>26  a  35</t>
  </si>
  <si>
    <t xml:space="preserve">36  a  50 </t>
  </si>
  <si>
    <t>51  a  70</t>
  </si>
  <si>
    <t>71  a  100</t>
  </si>
  <si>
    <t>Comercial</t>
  </si>
  <si>
    <t>0  -  10</t>
  </si>
  <si>
    <t>Industrial</t>
  </si>
  <si>
    <t>Pública</t>
  </si>
  <si>
    <t>Total Geral</t>
  </si>
  <si>
    <t>Fonte: CAESB</t>
  </si>
  <si>
    <r>
      <t>Volume de Água Produzida e de Esgoto Coletado pela CAESB (m</t>
    </r>
    <r>
      <rPr>
        <b/>
        <vertAlign val="super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</si>
  <si>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</si>
  <si>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</si>
  <si>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</si>
  <si>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r>
      <t>I - Volume Faturado de Água (m</t>
    </r>
    <r>
      <rPr>
        <b/>
        <vertAlign val="super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</si>
  <si>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r>
      <t>II - Volume Faturado de Esgoto (m</t>
    </r>
    <r>
      <rPr>
        <b/>
        <vertAlign val="super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</si>
  <si>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t>III - Volume Faturado de Água e de Esgoto (m3)</t>
  </si>
  <si>
    <t>Período de Referência (A)</t>
  </si>
  <si>
    <t>Período de Apuração (B)</t>
  </si>
  <si>
    <t>Apuração (A-B)</t>
  </si>
  <si>
    <t xml:space="preserve"> Período de Referência (A) </t>
  </si>
  <si>
    <r>
      <t xml:space="preserve">Consumo (m3) </t>
    </r>
    <r>
      <rPr>
        <b/>
        <sz val="12"/>
        <color theme="1"/>
        <rFont val="Calibri"/>
        <family val="2"/>
      </rPr>
      <t>¹</t>
    </r>
  </si>
  <si>
    <t xml:space="preserve">Período de Apuração (B) </t>
  </si>
  <si>
    <r>
      <t xml:space="preserve">Consumo (m3) </t>
    </r>
    <r>
      <rPr>
        <b/>
        <sz val="12"/>
        <color theme="1"/>
        <rFont val="Calibri"/>
        <family val="2"/>
      </rPr>
      <t>²</t>
    </r>
  </si>
  <si>
    <t xml:space="preserve">Economia  em m3 </t>
  </si>
  <si>
    <t>Quadro Resumo : Bônus-Desconto - Consumo Residencial</t>
  </si>
  <si>
    <t xml:space="preserve">Economia (m3)  </t>
  </si>
  <si>
    <t xml:space="preserve">Bônus Desconto (%) -  Lei 4.341/09 </t>
  </si>
  <si>
    <t>Base de Cálculo (m3)</t>
  </si>
  <si>
    <t>Tarifa Inicial Residencial (R$)*</t>
  </si>
  <si>
    <t>Bonus-Desconto (R$)</t>
  </si>
  <si>
    <t>Quadro Resumo : Bônus-Desconto - Consumo Comercial</t>
  </si>
  <si>
    <t>Tarifa Inicial Comercial (R$)*</t>
  </si>
  <si>
    <t>Quadro Resumo : Bônus-Desconto - Consumo Industrial</t>
  </si>
  <si>
    <t>Tarifa Inicial Industrial (R$)*</t>
  </si>
  <si>
    <t>Economia (m3)</t>
  </si>
  <si>
    <t>Bônus Desconto (%)</t>
  </si>
  <si>
    <t>Tarifa Inicial (R$)</t>
  </si>
  <si>
    <t>Bônus-Desconto</t>
  </si>
  <si>
    <t>Ajustes</t>
  </si>
  <si>
    <t>Referentes a arredondamentos concedidos aos usuários</t>
  </si>
  <si>
    <t>Δenergia</t>
    <phoneticPr fontId="0" type="noConversion"/>
  </si>
  <si>
    <t>Custo de Energia* (R$)</t>
    <phoneticPr fontId="0" type="noConversion"/>
  </si>
  <si>
    <t>Consumo** (MWh)</t>
    <phoneticPr fontId="0" type="noConversion"/>
  </si>
  <si>
    <t>Descrição</t>
  </si>
  <si>
    <t>Custo de Energia (R$)</t>
    <phoneticPr fontId="0" type="noConversion"/>
  </si>
  <si>
    <t>Consumo (MWh)</t>
    <phoneticPr fontId="0" type="noConversion"/>
  </si>
  <si>
    <t>Período de Referência</t>
    <phoneticPr fontId="0" type="noConversion"/>
  </si>
  <si>
    <t>Período de Referência Anterior</t>
    <phoneticPr fontId="0" type="noConversion"/>
  </si>
  <si>
    <t>Δenergia</t>
  </si>
  <si>
    <t>Total (R$)</t>
  </si>
  <si>
    <t>R$</t>
  </si>
  <si>
    <t>Participação</t>
  </si>
  <si>
    <t>(%)</t>
  </si>
  <si>
    <t xml:space="preserve">Custo com Pessoal </t>
    <phoneticPr fontId="0" type="noConversion"/>
  </si>
  <si>
    <t>P</t>
    <phoneticPr fontId="0" type="noConversion"/>
  </si>
  <si>
    <t xml:space="preserve">Custo com Consumo de Energia Elétrica </t>
    <phoneticPr fontId="0" type="noConversion"/>
  </si>
  <si>
    <t>EE</t>
    <phoneticPr fontId="0" type="noConversion"/>
  </si>
  <si>
    <t>MT</t>
    <phoneticPr fontId="0" type="noConversion"/>
  </si>
  <si>
    <t>OC</t>
    <phoneticPr fontId="0" type="noConversion"/>
  </si>
  <si>
    <t>Remuneração dos Investimentos</t>
  </si>
  <si>
    <t>RI</t>
  </si>
  <si>
    <t>Custos totais-E.R</t>
  </si>
  <si>
    <t>Custos totais</t>
  </si>
  <si>
    <t>Taxas</t>
  </si>
  <si>
    <t>%</t>
  </si>
  <si>
    <t>Taxa de Fiscalização do Serviço - TFS</t>
    <phoneticPr fontId="0" type="noConversion"/>
  </si>
  <si>
    <t>Volume Faturado de Água (m3)</t>
    <phoneticPr fontId="0" type="noConversion"/>
  </si>
  <si>
    <t>Volume Faturado de Esgoto (m3)</t>
    <phoneticPr fontId="0" type="noConversion"/>
  </si>
  <si>
    <t>Volume Faturado Total  (m3)</t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</si>
  <si>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</si>
  <si>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</si>
  <si>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</si>
  <si>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t>Volume de Água Produzida (m3)</t>
    <phoneticPr fontId="0" type="noConversion"/>
  </si>
  <si>
    <t>Volume de Esgoto Coletado (m3)</t>
    <phoneticPr fontId="0" type="noConversion"/>
  </si>
  <si>
    <t>Volume Produzido e Coletado Total - Vp (m3)</t>
    <phoneticPr fontId="0" type="noConversion"/>
  </si>
  <si>
    <t>Benefício Econômico de Uso Auferido - Beu(a) (R$)</t>
    <phoneticPr fontId="0" type="noConversion"/>
  </si>
  <si>
    <t>TFU = 2,5% x Beu(a) (R$)</t>
  </si>
  <si>
    <r>
      <t>RA</t>
    </r>
    <r>
      <rPr>
        <b/>
        <vertAlign val="sub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= (VPA'+ VPB + VCF)/(1 - 1% - 2,5%/ Vf x Vp)</t>
    </r>
  </si>
  <si>
    <t>VPA': Valor da Parcela A excluídos valores correspondentes às taxas TFS e TFU</t>
    <phoneticPr fontId="0" type="noConversion"/>
  </si>
  <si>
    <t>IrB (%)</t>
    <phoneticPr fontId="0" type="noConversion"/>
  </si>
  <si>
    <t>Participação (%)</t>
    <phoneticPr fontId="0" type="noConversion"/>
  </si>
  <si>
    <t>Variação (%)</t>
    <phoneticPr fontId="0" type="noConversion"/>
  </si>
  <si>
    <t>(%)</t>
    <phoneticPr fontId="0" type="noConversion"/>
  </si>
  <si>
    <t>%P x ΔINPC</t>
    <phoneticPr fontId="0" type="noConversion"/>
  </si>
  <si>
    <t>%EE x Δenergia</t>
    <phoneticPr fontId="0" type="noConversion"/>
  </si>
  <si>
    <t>%MT x ΔIGP-M</t>
    <phoneticPr fontId="0" type="noConversion"/>
  </si>
  <si>
    <t>% OC x ΔIPCA</t>
    <phoneticPr fontId="0" type="noConversion"/>
  </si>
  <si>
    <t>%RI x ΔIGP-M</t>
    <phoneticPr fontId="0" type="noConversion"/>
  </si>
  <si>
    <t>IrB = (%P x ΔINPC) + (%EE x ΔEnergia) + (%MT x ΔIGP-M) + (%RI x ΔIGP-M) + (% OC x ΔIPCA)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</si>
  <si>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</si>
  <si>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</si>
  <si>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</si>
  <si>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</si>
  <si>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  <phoneticPr fontId="0" type="noConversion"/>
  </si>
  <si>
    <r>
      <t>TB</t>
    </r>
    <r>
      <rPr>
        <vertAlign val="subscript"/>
        <sz val="11"/>
        <rFont val="Arial"/>
        <family val="2"/>
      </rPr>
      <t>DRA</t>
    </r>
  </si>
  <si>
    <r>
      <t>TB</t>
    </r>
    <r>
      <rPr>
        <vertAlign val="subscript"/>
        <sz val="11"/>
        <rFont val="Arial"/>
        <family val="2"/>
      </rPr>
      <t>DRP</t>
    </r>
  </si>
  <si>
    <t>Parâmetros</t>
    <phoneticPr fontId="0" type="noConversion"/>
  </si>
  <si>
    <t>Data</t>
    <phoneticPr fontId="0" type="noConversion"/>
  </si>
  <si>
    <t>Data do Reajuste</t>
    <phoneticPr fontId="0" type="noConversion"/>
  </si>
  <si>
    <t xml:space="preserve">Tarifa de Parcela A:                                                                    </t>
  </si>
  <si>
    <r>
      <t>TA</t>
    </r>
    <r>
      <rPr>
        <vertAlign val="subscript"/>
        <sz val="11"/>
        <rFont val="Arial"/>
        <family val="2"/>
      </rPr>
      <t>DRP</t>
    </r>
  </si>
  <si>
    <t xml:space="preserve">Vigência do IRT </t>
    <phoneticPr fontId="0" type="noConversion"/>
  </si>
  <si>
    <t>Tarifa bônus-desconto</t>
  </si>
  <si>
    <t xml:space="preserve">DRA: Data  de Referência Anterior </t>
    <phoneticPr fontId="0" type="noConversion"/>
  </si>
  <si>
    <t xml:space="preserve">Tarifa de Parcela B: </t>
    <phoneticPr fontId="0" type="noConversion"/>
  </si>
  <si>
    <t xml:space="preserve">DRP: Data de Reajuste em Processamento </t>
    <phoneticPr fontId="0" type="noConversion"/>
  </si>
  <si>
    <t xml:space="preserve">Tarifa de Componentes Financeiros   </t>
  </si>
  <si>
    <r>
      <t>TF</t>
    </r>
    <r>
      <rPr>
        <vertAlign val="subscript"/>
        <sz val="11"/>
        <rFont val="Arial"/>
        <family val="2"/>
      </rPr>
      <t>DRP</t>
    </r>
  </si>
  <si>
    <t>Período de Referência (parcela A + parcela B): 12 meses</t>
  </si>
  <si>
    <t xml:space="preserve">Tarifa Final DRP: </t>
  </si>
  <si>
    <t>T</t>
  </si>
  <si>
    <t>Mercado de Referência (parcela A + parcela B): Volume de Água e de Esgoto</t>
  </si>
  <si>
    <t>Índice de Reajuste Tarifário</t>
  </si>
  <si>
    <t>Período de Referência (Bônus-Desconto): 12 meses</t>
  </si>
  <si>
    <t>Período de Apuração (Bônus-Desconto): 12 meses</t>
  </si>
  <si>
    <r>
      <t>Tarifas DRA (R$/m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</si>
  <si>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r>
      <t>TA</t>
    </r>
    <r>
      <rPr>
        <vertAlign val="subscript"/>
        <sz val="11"/>
        <rFont val="Arial"/>
        <family val="2"/>
      </rPr>
      <t>DRA</t>
    </r>
  </si>
  <si>
    <r>
      <t>TA-BD</t>
    </r>
    <r>
      <rPr>
        <vertAlign val="subscript"/>
        <sz val="11"/>
        <color indexed="8"/>
        <rFont val="Arial"/>
        <family val="2"/>
      </rPr>
      <t>DRA</t>
    </r>
  </si>
  <si>
    <t>Tarifa de Componentes Financeiros</t>
  </si>
  <si>
    <r>
      <t>TF</t>
    </r>
    <r>
      <rPr>
        <vertAlign val="subscript"/>
        <sz val="11"/>
        <rFont val="Arial"/>
        <family val="2"/>
      </rPr>
      <t>DRA</t>
    </r>
  </si>
  <si>
    <t xml:space="preserve">Tarifa Final DRA: </t>
  </si>
  <si>
    <t>Componentes da Receita DRP (R$)</t>
    <phoneticPr fontId="0" type="noConversion"/>
  </si>
  <si>
    <t xml:space="preserve">Valor da Parcela A: </t>
    <phoneticPr fontId="0" type="noConversion"/>
  </si>
  <si>
    <r>
      <t>VPA</t>
    </r>
    <r>
      <rPr>
        <vertAlign val="subscript"/>
        <sz val="11"/>
        <rFont val="Arial"/>
        <family val="2"/>
      </rPr>
      <t>DRP</t>
    </r>
  </si>
  <si>
    <t xml:space="preserve">Valor da Parcela B: </t>
    <phoneticPr fontId="0" type="noConversion"/>
  </si>
  <si>
    <r>
      <t>VPB</t>
    </r>
    <r>
      <rPr>
        <vertAlign val="subscript"/>
        <sz val="11"/>
        <rFont val="Arial"/>
        <family val="2"/>
      </rPr>
      <t>DRP</t>
    </r>
  </si>
  <si>
    <t xml:space="preserve">Valor do Componente Financeiro </t>
  </si>
  <si>
    <r>
      <t>VCF</t>
    </r>
    <r>
      <rPr>
        <vertAlign val="subscript"/>
        <sz val="11"/>
        <rFont val="Arial"/>
        <family val="2"/>
      </rPr>
      <t>DRP</t>
    </r>
  </si>
  <si>
    <t>Receita Anual:</t>
  </si>
  <si>
    <r>
      <t>RA</t>
    </r>
    <r>
      <rPr>
        <vertAlign val="subscript"/>
        <sz val="11"/>
        <rFont val="Arial"/>
        <family val="2"/>
      </rPr>
      <t>1</t>
    </r>
  </si>
  <si>
    <r>
      <t>Mercado de Referência (m</t>
    </r>
    <r>
      <rPr>
        <vertAlign val="superscript"/>
        <sz val="11"/>
        <color indexed="9"/>
        <rFont val="Arial"/>
        <family val="2"/>
      </rPr>
      <t>3</t>
    </r>
    <r>
      <rPr>
        <sz val="11"/>
        <color indexed="9"/>
        <rFont val="Arial"/>
        <family val="2"/>
      </rPr>
      <t>)</t>
    </r>
  </si>
  <si>
    <t xml:space="preserve">Mercado de Referência: </t>
    <phoneticPr fontId="0" type="noConversion"/>
  </si>
  <si>
    <t>MR</t>
    <phoneticPr fontId="0" type="noConversion"/>
  </si>
  <si>
    <t>Para Atividades Residenciais</t>
    <phoneticPr fontId="0" type="noConversion"/>
  </si>
  <si>
    <t>Para Atividades Comerciais, Públicas e Industriais</t>
  </si>
  <si>
    <r>
      <t>Faixa de Consumo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</si>
  <si>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>CPA</t>
  </si>
  <si>
    <t>VPA</t>
  </si>
  <si>
    <t>MR</t>
  </si>
  <si>
    <t>IPCA</t>
  </si>
  <si>
    <t>CF</t>
  </si>
  <si>
    <t>jan</t>
  </si>
  <si>
    <t>DISCRIMINAÇÃO</t>
  </si>
  <si>
    <t>fev</t>
  </si>
  <si>
    <t>JANEIRO</t>
  </si>
  <si>
    <t>FEVEREIRO</t>
  </si>
  <si>
    <t>MARÇO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</si>
  <si>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</si>
  <si>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</si>
  <si>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</si>
  <si>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</si>
  <si>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</si>
  <si>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</si>
  <si>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</si>
  <si>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</si>
  <si>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</si>
  <si>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mar</t>
  </si>
  <si>
    <t>Receita Operacional Direta</t>
  </si>
  <si>
    <t>abr</t>
  </si>
  <si>
    <t>m³</t>
  </si>
  <si>
    <t>mai</t>
  </si>
  <si>
    <t>jun</t>
  </si>
  <si>
    <t>jul</t>
  </si>
  <si>
    <r>
      <t>TF</t>
    </r>
    <r>
      <rPr>
        <b/>
        <vertAlign val="subscript"/>
        <sz val="11"/>
        <color theme="1"/>
        <rFont val="Calibri"/>
        <family val="2"/>
        <scheme val="minor"/>
      </rPr>
      <t>DRP</t>
    </r>
  </si>
  <si>
    <t>ago</t>
  </si>
  <si>
    <t>set</t>
  </si>
  <si>
    <t>Total vol fat Ag + Esg</t>
  </si>
  <si>
    <t>out</t>
  </si>
  <si>
    <t>Tarifa Média</t>
  </si>
  <si>
    <t>R$/m³</t>
  </si>
  <si>
    <r>
      <t>TA</t>
    </r>
    <r>
      <rPr>
        <b/>
        <vertAlign val="subscript"/>
        <sz val="11"/>
        <color theme="1"/>
        <rFont val="Calibri"/>
        <family val="2"/>
        <scheme val="minor"/>
      </rPr>
      <t>DRA</t>
    </r>
  </si>
  <si>
    <t>nov</t>
  </si>
  <si>
    <t>dez</t>
  </si>
  <si>
    <t>Total vol prod Ag + Esg</t>
  </si>
  <si>
    <t>Bes</t>
  </si>
  <si>
    <t>Beu</t>
  </si>
  <si>
    <t>TFU (2,5%)</t>
  </si>
  <si>
    <t>TFS (1%)</t>
  </si>
  <si>
    <r>
      <t xml:space="preserve">volume </t>
    </r>
    <r>
      <rPr>
        <sz val="11"/>
        <color indexed="8"/>
        <rFont val="Calibri"/>
        <family val="2"/>
      </rPr>
      <t>produzido Ag</t>
    </r>
  </si>
  <si>
    <r>
      <t xml:space="preserve">volume </t>
    </r>
    <r>
      <rPr>
        <sz val="11"/>
        <color indexed="8"/>
        <rFont val="Calibri"/>
        <family val="2"/>
      </rPr>
      <t>coletado Esg</t>
    </r>
  </si>
  <si>
    <r>
      <t xml:space="preserve">volume </t>
    </r>
    <r>
      <rPr>
        <sz val="11"/>
        <color indexed="8"/>
        <rFont val="Calibri"/>
        <family val="2"/>
      </rPr>
      <t>faturado Ag</t>
    </r>
  </si>
  <si>
    <r>
      <t xml:space="preserve">volume </t>
    </r>
    <r>
      <rPr>
        <sz val="11"/>
        <color indexed="8"/>
        <rFont val="Calibri"/>
        <family val="2"/>
      </rPr>
      <t>faturado Esg</t>
    </r>
  </si>
  <si>
    <t>Indices Econômicos 2016</t>
  </si>
  <si>
    <t>Dezembro/2015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</si>
  <si>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</si>
  <si>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</si>
  <si>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</si>
  <si>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</si>
  <si>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</si>
  <si>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</si>
  <si>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</si>
  <si>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</si>
  <si>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</si>
  <si>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</si>
  <si>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</si>
  <si>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</si>
  <si>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Volume de Água e Esgoto Faturado - Ano 2016</t>
  </si>
  <si>
    <t>Volume de Água Produzida e Volume de Esgoto Coletado - Ano 2016</t>
  </si>
  <si>
    <t>Apuração do Bônus-Desconto para o Reajuste 2017 - Consumo Residencial Normal</t>
  </si>
  <si>
    <t>Apuração do Bônus-Desconto para o Reajuste 2017 - Consumo Residencial Popular</t>
  </si>
  <si>
    <t>Apuração do Bônus-Desconto para o Reajuste 2017 - Consumo Comercial</t>
  </si>
  <si>
    <t>Apuração do Bônus-Desconto para o Reajuste 2017 - Consumo Industrial</t>
  </si>
  <si>
    <t>Quadro Resumo e Total do Bônus-Desconto 2017</t>
  </si>
  <si>
    <t>Materiais, Serviços e Outros Custos</t>
  </si>
  <si>
    <t>Custo com Produtos Químicos e Material de Tratamento</t>
  </si>
  <si>
    <t>Proporção Regulatória da Parcela B (%) estabelecida na 2ª Revisão Tarifária Periódica de 2016</t>
  </si>
  <si>
    <t>Revisão Tarifária Periódica 2016: Resolução ADASA nº. 05 de 28 abril de 2016</t>
  </si>
  <si>
    <t>* tarifa vigente em Jun/2016 de acordo com a Resolução nº 005/2016 - ADASA de 28 de abril de 2016</t>
  </si>
  <si>
    <t>Custo (R$) e Consumo (MWh) de Energia Elétrica - Anos 2015 e 2016</t>
  </si>
  <si>
    <t>Dados de Energia Elétrica 2015 e 2016</t>
  </si>
  <si>
    <t xml:space="preserve">                                                    Valor da Parcela A 2017 - DRP</t>
  </si>
  <si>
    <t>TFS 2016</t>
  </si>
  <si>
    <t>TFU 2016</t>
  </si>
  <si>
    <t>Tarifa 2016</t>
  </si>
  <si>
    <t>Reajuste 2017:  Tarifas resultantes do IRT 2017</t>
  </si>
  <si>
    <t xml:space="preserve">                                                    Valor da Parcela B 2017 - DRP</t>
  </si>
  <si>
    <t xml:space="preserve">                                                    Valor do IRT 2017</t>
  </si>
  <si>
    <t xml:space="preserve">                                                    Valor das Tarifas para 2017</t>
  </si>
  <si>
    <t>01/06/2017</t>
  </si>
  <si>
    <t>01/06/2017 a 31/05/2018</t>
  </si>
  <si>
    <t>01/06/2016</t>
  </si>
  <si>
    <t>jan/2016 a dez/2016</t>
  </si>
  <si>
    <t>jan/2015 a dez/2015</t>
  </si>
  <si>
    <t>IRT 2017</t>
  </si>
  <si>
    <r>
      <t>TA-BD</t>
    </r>
    <r>
      <rPr>
        <vertAlign val="subscript"/>
        <sz val="11"/>
        <rFont val="Arial"/>
        <family val="2"/>
      </rPr>
      <t>DRP</t>
    </r>
  </si>
  <si>
    <t xml:space="preserve">ABRIL </t>
  </si>
  <si>
    <t>Revisão Homologada</t>
  </si>
  <si>
    <t>&lt;= valor Bônus desconto dividido pelo mercado faturado definidos na Revisão Tarifária Periódica de 2016</t>
  </si>
  <si>
    <t>&lt;= Parcela B c/ Ajuste dividida pelo mercado faturado definidos na Revisão Tarifária Periódica de 2016</t>
  </si>
  <si>
    <t>&lt;= Componentes Financeiros dividida pelo mercado faturado definidos na Revisão Tarifária Periódica de 2016</t>
  </si>
  <si>
    <t>&lt;= valor Parcela A, reduzida do valor do bônus-desconto, dividido pelo mercado faturado definidos na Revisão Tarifária Periódica de 2016</t>
  </si>
  <si>
    <r>
      <t>Tarifas DRP (R$/m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)</t>
    </r>
  </si>
  <si>
    <t>Valores da DRP</t>
  </si>
  <si>
    <r>
      <t>VPA-BD</t>
    </r>
    <r>
      <rPr>
        <vertAlign val="subscript"/>
        <sz val="11"/>
        <rFont val="Arial"/>
        <family val="2"/>
      </rPr>
      <t>DRP</t>
    </r>
  </si>
  <si>
    <t>Valor do Bonus-Desconto - Parcela A:</t>
  </si>
  <si>
    <t>* Custo de Energia (R$): toda a despesa mensal incorrida pela CAESB com energia elétrica no referido mês</t>
  </si>
  <si>
    <t>** Consumo (MWh): todo o consumo mensal de energia elétrica, em MWh, da CAESB no referido mês</t>
  </si>
  <si>
    <t>Valor Total das Taxas (VPA DRP 2017)</t>
  </si>
  <si>
    <t>Companhia de Saneamento Ambiental do Distrito Federal - CAESB</t>
  </si>
  <si>
    <t>Reposicionamento Tarifário Periódico (2ª RTP)</t>
  </si>
  <si>
    <t>TFS e TFU</t>
  </si>
  <si>
    <t>Expressos em R$/m³</t>
  </si>
  <si>
    <t>Reposicionamento Tarifário</t>
  </si>
  <si>
    <t>Parcela A</t>
  </si>
  <si>
    <t>em R$</t>
  </si>
  <si>
    <t>. Bônus desconto</t>
  </si>
  <si>
    <t xml:space="preserve">. TFS  </t>
  </si>
  <si>
    <t>. TFU</t>
  </si>
  <si>
    <t>Total Parcela A</t>
  </si>
  <si>
    <t>Parcela B</t>
  </si>
  <si>
    <t>. Custos Operacionais 2ª RTP</t>
  </si>
  <si>
    <t xml:space="preserve">. Custos Operacionais (1ª RTP Atualizada) </t>
  </si>
  <si>
    <t>. Saneamento Rural</t>
  </si>
  <si>
    <t>. Segurança Patrimonial</t>
  </si>
  <si>
    <t>. Titulação</t>
  </si>
  <si>
    <t>. CO Energia Elétrica</t>
  </si>
  <si>
    <t>. CO Produtos Químicos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</si>
  <si>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</si>
  <si>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</si>
  <si>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</si>
  <si>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</si>
  <si>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Ativos de Reserva ou de Almoxarifado</t>
  </si>
  <si>
    <t>Total Parcela B s/ Ajuste</t>
  </si>
  <si>
    <t>Ajuste Custos Operacionais</t>
  </si>
  <si>
    <t>Parcela B c/ Ajuste</t>
  </si>
  <si>
    <t>. Receita Requerida (VPA + VPB)</t>
  </si>
  <si>
    <t>(-) Outras Receitas</t>
  </si>
  <si>
    <t>. Receita Requerida Líquida</t>
  </si>
  <si>
    <t>. Receita Verificada</t>
  </si>
  <si>
    <t>. Água</t>
  </si>
  <si>
    <t>. Esgoto</t>
  </si>
  <si>
    <t>. Alíquota PIS/COFINS (%)</t>
  </si>
  <si>
    <t>. Receita Verificada Líquida</t>
  </si>
  <si>
    <t>Reposicionamento Tarifário (RT)</t>
  </si>
  <si>
    <t>. Componentes Financeiros</t>
  </si>
  <si>
    <t>. Impacto dos Itens Financeiros</t>
  </si>
  <si>
    <t>. Alteração da data-base de março para junho</t>
  </si>
  <si>
    <t>RT com Componentes Financeiros</t>
  </si>
  <si>
    <t>RT com Componentes Financeiros com alteração da data-base</t>
  </si>
  <si>
    <t>Cálculos de Apoio ao Reposicionamento Tarifário</t>
  </si>
  <si>
    <t>Valor Calculado</t>
  </si>
  <si>
    <t>Ref. = ZERO</t>
  </si>
  <si>
    <t>Receitas Irrecuperáveis</t>
  </si>
  <si>
    <t>Receita Requerida (VPA + VPB)</t>
  </si>
  <si>
    <t xml:space="preserve">&lt;= Componentes Financeiros dividida </t>
  </si>
  <si>
    <t xml:space="preserve">&lt;= Parcela B c/ Ajuste </t>
  </si>
  <si>
    <t>&lt;= valor Parcela A, reduzida do valor do bônus-desconto</t>
  </si>
  <si>
    <t>TFU + TFS</t>
  </si>
  <si>
    <t>&lt;= valor Bônus desconto</t>
  </si>
  <si>
    <t>jan a dez/2015</t>
  </si>
  <si>
    <t>Água e esgoto faturados</t>
  </si>
  <si>
    <t xml:space="preserve"> Mercado Faturado definidos na  RTP de 2016 (m³)</t>
  </si>
  <si>
    <t>2ª RTP - 2016</t>
  </si>
  <si>
    <t>Valores  (R$)</t>
  </si>
  <si>
    <t xml:space="preserve">Valor da Parcela A:                                                                    </t>
  </si>
  <si>
    <t>Valor do Componente Financeiro :</t>
  </si>
  <si>
    <t>TA</t>
  </si>
  <si>
    <t>TA-BD</t>
  </si>
  <si>
    <t>TB</t>
  </si>
  <si>
    <t>TF</t>
  </si>
  <si>
    <r>
      <t>Janeiro a Maio era aplicada a tarifa vigente de 01/03/2015 a 31/05/2016, portanto se utiliza a TA</t>
    </r>
    <r>
      <rPr>
        <vertAlign val="subscript"/>
        <sz val="11"/>
        <color theme="1"/>
        <rFont val="Calibri"/>
        <family val="2"/>
        <scheme val="minor"/>
      </rPr>
      <t>DRA</t>
    </r>
    <r>
      <rPr>
        <sz val="11"/>
        <color theme="1"/>
        <rFont val="Calibri"/>
        <family val="2"/>
        <scheme val="minor"/>
      </rPr>
      <t xml:space="preserve"> de 2015</t>
    </r>
  </si>
  <si>
    <r>
      <t>Junho a Dezembro era aplicada a tarifa vigente de 01/06/2016 a 31/05/2017, portanto se utiliza a TA</t>
    </r>
    <r>
      <rPr>
        <vertAlign val="subscript"/>
        <sz val="11"/>
        <color theme="1"/>
        <rFont val="Calibri"/>
        <family val="2"/>
        <scheme val="minor"/>
      </rPr>
      <t>DRA</t>
    </r>
    <r>
      <rPr>
        <sz val="11"/>
        <color theme="1"/>
        <rFont val="Calibri"/>
        <family val="2"/>
        <scheme val="minor"/>
      </rPr>
      <t xml:space="preserve"> de 2016</t>
    </r>
  </si>
  <si>
    <t>jan a dez/2016</t>
  </si>
  <si>
    <t>Resolução nº 14/2011 e 03/2012</t>
  </si>
  <si>
    <t>Resolução nº 14/2011 e 03/2012 em 2016</t>
  </si>
  <si>
    <t>Resolução nº 14/2011 e 03/2012 em 2017</t>
  </si>
  <si>
    <t xml:space="preserve"> Mercado Faturado definidos no IRT 2017</t>
  </si>
  <si>
    <t>Publicações legais</t>
  </si>
  <si>
    <t>Contrato Serasa</t>
  </si>
  <si>
    <t>Resolução nº 14/2011 e 03/2012 atualizado</t>
  </si>
  <si>
    <r>
      <t>TF-R</t>
    </r>
    <r>
      <rPr>
        <b/>
        <vertAlign val="subscript"/>
        <sz val="10"/>
        <rFont val="Arial"/>
        <family val="2"/>
      </rPr>
      <t>DRP</t>
    </r>
  </si>
  <si>
    <r>
      <t>Total TF-R</t>
    </r>
    <r>
      <rPr>
        <b/>
        <vertAlign val="subscript"/>
        <sz val="10"/>
        <rFont val="Arial"/>
        <family val="2"/>
      </rPr>
      <t>DRP</t>
    </r>
  </si>
  <si>
    <t>Comunicados Bônus-desconto</t>
  </si>
  <si>
    <t>Comunicado prévio de corte no abastecimento</t>
  </si>
  <si>
    <r>
      <t>TF-PL</t>
    </r>
    <r>
      <rPr>
        <b/>
        <vertAlign val="subscript"/>
        <sz val="10"/>
        <rFont val="Arial"/>
        <family val="2"/>
      </rPr>
      <t>DRP</t>
    </r>
  </si>
  <si>
    <t>R$/MWh</t>
  </si>
  <si>
    <t>Subtotal</t>
  </si>
  <si>
    <t>Licitações</t>
  </si>
  <si>
    <t>Empresa A de janeiro a julho/2016</t>
  </si>
  <si>
    <t>Empresa B agosto a dezembro/2016</t>
  </si>
  <si>
    <t>Empresa C agosto a dezembro/2016</t>
  </si>
  <si>
    <t>Empresa A agosto a dezembro/2016</t>
  </si>
  <si>
    <t>Valores considerados na tarifa em 2016</t>
  </si>
  <si>
    <t>Valor total de publicações legais a ser considerado no IRT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</si>
</sst>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0.0000%"/>
    <numFmt numFmtId="166" formatCode="_-* #,##0_-;\-* #,##0_-;_-* &quot;-&quot;??_-;_-@_-"/>
    <numFmt numFmtId="167" formatCode="_(* #,##0.00_);_(* \(#,##0.00\);_(* &quot;-&quot;??_);_(@_)"/>
    <numFmt numFmtId="168" formatCode="0.0%"/>
    <numFmt numFmtId="169" formatCode="#,##0.00_ ;\-#,##0.00\ "/>
    <numFmt numFmtId="170" formatCode="mmm\-yy"/>
    <numFmt numFmtId="171" formatCode="0.0000"/>
    <numFmt numFmtId="172" formatCode="_(&quot;R$ &quot;* #,##0.00_);_(&quot;R$ &quot;* \(#,##0.00\);_(&quot;R$ &quot;* &quot;-&quot;??_);_(@_)"/>
    <numFmt numFmtId="173" formatCode="_-* #,##0.0000_-;\-* #,##0.0000_-;_-* &quot;-&quot;??_-;_-@_-"/>
    <numFmt numFmtId="174" formatCode="#,##0.00;[Red]#,##0.00"/>
    <numFmt numFmtId="175" formatCode="#,##0.0000;[Red]#,##0.0000"/>
    <numFmt numFmtId="176" formatCode="_(* #,##0_);_(* \(#,##0\);_(* &quot;-&quot;_);_(@_)"/>
    <numFmt numFmtId="177" formatCode="[$-416]mmm\-yy;@"/>
    <numFmt numFmtId="178" formatCode="_-* #,##0.0000_-;\-* #,##0.0000_-;_-* &quot;-&quot;??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b/>
      <sz val="14"/>
      <color indexed="18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vertAlign val="superscript"/>
      <sz val="11"/>
      <color indexed="9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18"/>
      <name val="Arial"/>
      <family val="2"/>
    </font>
    <font>
      <sz val="12"/>
      <color indexed="8"/>
      <name val="Arial"/>
      <family val="2"/>
    </font>
    <font>
      <b/>
      <vertAlign val="subscript"/>
      <sz val="11"/>
      <color indexed="8"/>
      <name val="Arial"/>
      <family val="2"/>
    </font>
    <font>
      <sz val="9"/>
      <color indexed="23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vertAlign val="subscript"/>
      <sz val="11"/>
      <name val="Arial"/>
      <family val="2"/>
    </font>
    <font>
      <sz val="11"/>
      <color indexed="8"/>
      <name val="Calibri"/>
      <family val="2"/>
    </font>
    <font>
      <vertAlign val="superscript"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indexed="10"/>
      <name val="Arial"/>
      <family val="2"/>
    </font>
    <font>
      <b/>
      <vertAlign val="superscript"/>
      <sz val="11"/>
      <name val="Arial"/>
      <family val="2"/>
    </font>
    <font>
      <b/>
      <sz val="11"/>
      <color indexed="62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bscript"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E79F"/>
        <bgColor indexed="64"/>
      </patternFill>
    </fill>
    <fill>
      <patternFill patternType="solid">
        <fgColor theme="0" tint="-0.14999847407452621"/>
        <bgColor indexed="38"/>
      </patternFill>
    </fill>
    <fill>
      <patternFill patternType="solid">
        <fgColor rgb="FF002060"/>
        <bgColor indexed="38"/>
      </patternFill>
    </fill>
    <fill>
      <patternFill patternType="solid">
        <fgColor indexed="9"/>
        <bgColor indexed="38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776"/>
        <bgColor rgb="FF000000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55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41" fillId="0" borderId="0"/>
    <xf numFmtId="0" fontId="7" fillId="0" borderId="0"/>
    <xf numFmtId="167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</cellStyleXfs>
  <cellXfs count="409">
    <xf numFmtId="0" fontId="0" fillId="0" borderId="0" xfId="0"/>
    <xf numFmtId="0" fontId="5" fillId="0" borderId="0" xfId="0" applyFont="1"/>
    <xf numFmtId="0" fontId="6" fillId="0" borderId="0" xfId="0" applyFont="1" applyAlignment="1"/>
    <xf numFmtId="0" fontId="9" fillId="0" borderId="0" xfId="4" applyFont="1" applyAlignment="1" applyProtection="1"/>
    <xf numFmtId="0" fontId="0" fillId="0" borderId="0" xfId="0" applyProtection="1"/>
    <xf numFmtId="0" fontId="8" fillId="0" borderId="0" xfId="4" applyFont="1" applyFill="1" applyAlignment="1" applyProtection="1"/>
    <xf numFmtId="0" fontId="11" fillId="3" borderId="1" xfId="4" applyFont="1" applyFill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/>
    </xf>
    <xf numFmtId="2" fontId="11" fillId="4" borderId="1" xfId="4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/>
    <xf numFmtId="0" fontId="9" fillId="0" borderId="0" xfId="0" applyFont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49" fontId="11" fillId="6" borderId="1" xfId="0" applyNumberFormat="1" applyFont="1" applyFill="1" applyBorder="1" applyAlignment="1" applyProtection="1">
      <alignment horizontal="left" wrapText="1"/>
    </xf>
    <xf numFmtId="164" fontId="11" fillId="4" borderId="1" xfId="2" applyNumberFormat="1" applyFont="1" applyFill="1" applyBorder="1" applyAlignment="1" applyProtection="1">
      <alignment horizontal="right"/>
      <protection locked="0"/>
    </xf>
    <xf numFmtId="10" fontId="9" fillId="0" borderId="0" xfId="3" applyNumberFormat="1" applyFont="1"/>
    <xf numFmtId="49" fontId="9" fillId="0" borderId="1" xfId="0" applyNumberFormat="1" applyFont="1" applyFill="1" applyBorder="1" applyAlignment="1" applyProtection="1">
      <alignment wrapText="1"/>
    </xf>
    <xf numFmtId="49" fontId="9" fillId="6" borderId="1" xfId="0" applyNumberFormat="1" applyFont="1" applyFill="1" applyBorder="1" applyAlignment="1" applyProtection="1">
      <alignment wrapText="1"/>
    </xf>
    <xf numFmtId="10" fontId="9" fillId="0" borderId="0" xfId="0" applyNumberFormat="1" applyFont="1"/>
    <xf numFmtId="0" fontId="16" fillId="2" borderId="5" xfId="0" applyFont="1" applyFill="1" applyBorder="1" applyAlignment="1" applyProtection="1">
      <alignment horizontal="left" vertical="center" wrapText="1"/>
    </xf>
    <xf numFmtId="165" fontId="16" fillId="2" borderId="1" xfId="3" applyNumberFormat="1" applyFont="1" applyFill="1" applyBorder="1" applyAlignment="1" applyProtection="1">
      <alignment horizontal="center" vertical="center"/>
    </xf>
    <xf numFmtId="165" fontId="9" fillId="0" borderId="0" xfId="0" applyNumberFormat="1" applyFont="1"/>
    <xf numFmtId="0" fontId="17" fillId="0" borderId="0" xfId="0" applyFont="1" applyProtection="1"/>
    <xf numFmtId="17" fontId="18" fillId="7" borderId="0" xfId="0" applyNumberFormat="1" applyFont="1" applyFill="1" applyAlignment="1">
      <alignment horizontal="left" wrapText="1"/>
    </xf>
    <xf numFmtId="0" fontId="18" fillId="7" borderId="0" xfId="0" applyFont="1" applyFill="1" applyAlignment="1">
      <alignment horizontal="left" wrapText="1"/>
    </xf>
    <xf numFmtId="0" fontId="19" fillId="8" borderId="1" xfId="0" applyFont="1" applyFill="1" applyBorder="1" applyAlignment="1" applyProtection="1">
      <alignment horizontal="center" vertical="center"/>
    </xf>
    <xf numFmtId="17" fontId="19" fillId="8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" fontId="21" fillId="5" borderId="1" xfId="0" applyNumberFormat="1" applyFont="1" applyFill="1" applyBorder="1" applyProtection="1"/>
    <xf numFmtId="3" fontId="22" fillId="8" borderId="1" xfId="0" applyNumberFormat="1" applyFont="1" applyFill="1" applyBorder="1" applyAlignment="1" applyProtection="1">
      <alignment vertical="center"/>
    </xf>
    <xf numFmtId="3" fontId="21" fillId="5" borderId="1" xfId="0" applyNumberFormat="1" applyFont="1" applyFill="1" applyBorder="1" applyAlignment="1" applyProtection="1">
      <alignment vertical="center"/>
    </xf>
    <xf numFmtId="3" fontId="23" fillId="5" borderId="1" xfId="0" applyNumberFormat="1" applyFont="1" applyFill="1" applyBorder="1" applyProtection="1"/>
    <xf numFmtId="3" fontId="24" fillId="9" borderId="1" xfId="0" applyNumberFormat="1" applyFont="1" applyFill="1" applyBorder="1" applyAlignment="1" applyProtection="1">
      <alignment vertical="center"/>
    </xf>
    <xf numFmtId="3" fontId="9" fillId="0" borderId="0" xfId="0" applyNumberFormat="1" applyFont="1"/>
    <xf numFmtId="0" fontId="9" fillId="10" borderId="1" xfId="0" applyFont="1" applyFill="1" applyBorder="1" applyAlignment="1" applyProtection="1">
      <alignment horizontal="center" vertical="center"/>
    </xf>
    <xf numFmtId="0" fontId="17" fillId="0" borderId="0" xfId="0" applyFont="1"/>
    <xf numFmtId="0" fontId="14" fillId="0" borderId="0" xfId="0" applyFont="1" applyAlignment="1" applyProtection="1">
      <alignment vertical="center"/>
    </xf>
    <xf numFmtId="17" fontId="19" fillId="8" borderId="4" xfId="0" applyNumberFormat="1" applyFont="1" applyFill="1" applyBorder="1" applyAlignment="1" applyProtection="1">
      <alignment horizontal="center" vertical="center" wrapText="1"/>
    </xf>
    <xf numFmtId="3" fontId="11" fillId="5" borderId="1" xfId="0" applyNumberFormat="1" applyFont="1" applyFill="1" applyBorder="1" applyAlignment="1" applyProtection="1">
      <alignment vertical="center"/>
    </xf>
    <xf numFmtId="3" fontId="26" fillId="2" borderId="4" xfId="0" applyNumberFormat="1" applyFont="1" applyFill="1" applyBorder="1" applyAlignment="1" applyProtection="1">
      <alignment vertical="center"/>
    </xf>
    <xf numFmtId="3" fontId="26" fillId="2" borderId="1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/>
    </xf>
    <xf numFmtId="4" fontId="20" fillId="0" borderId="0" xfId="0" applyNumberFormat="1" applyFont="1" applyFill="1" applyBorder="1" applyAlignment="1" applyProtection="1">
      <alignment horizontal="left"/>
    </xf>
    <xf numFmtId="0" fontId="13" fillId="0" borderId="0" xfId="0" applyFont="1"/>
    <xf numFmtId="0" fontId="30" fillId="13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13" borderId="11" xfId="0" applyFont="1" applyFill="1" applyBorder="1" applyAlignment="1">
      <alignment horizontal="center" vertical="center"/>
    </xf>
    <xf numFmtId="17" fontId="32" fillId="0" borderId="11" xfId="0" applyNumberFormat="1" applyFont="1" applyBorder="1" applyAlignment="1">
      <alignment horizontal="center"/>
    </xf>
    <xf numFmtId="166" fontId="32" fillId="4" borderId="11" xfId="1" applyNumberFormat="1" applyFont="1" applyFill="1" applyBorder="1" applyAlignment="1" applyProtection="1">
      <alignment horizontal="center"/>
      <protection locked="0"/>
    </xf>
    <xf numFmtId="0" fontId="32" fillId="13" borderId="11" xfId="0" applyFont="1" applyFill="1" applyBorder="1" applyAlignment="1">
      <alignment horizontal="center"/>
    </xf>
    <xf numFmtId="166" fontId="32" fillId="13" borderId="11" xfId="1" applyNumberFormat="1" applyFont="1" applyFill="1" applyBorder="1" applyAlignment="1">
      <alignment horizontal="center"/>
    </xf>
    <xf numFmtId="166" fontId="32" fillId="5" borderId="11" xfId="1" applyNumberFormat="1" applyFont="1" applyFill="1" applyBorder="1" applyAlignment="1">
      <alignment horizontal="center"/>
    </xf>
    <xf numFmtId="0" fontId="32" fillId="0" borderId="12" xfId="0" applyFont="1" applyBorder="1"/>
    <xf numFmtId="166" fontId="32" fillId="5" borderId="13" xfId="1" applyNumberFormat="1" applyFont="1" applyFill="1" applyBorder="1" applyAlignment="1" applyProtection="1">
      <alignment horizontal="center"/>
    </xf>
    <xf numFmtId="0" fontId="32" fillId="0" borderId="14" xfId="0" applyFont="1" applyBorder="1"/>
    <xf numFmtId="9" fontId="32" fillId="5" borderId="15" xfId="0" applyNumberFormat="1" applyFont="1" applyFill="1" applyBorder="1" applyAlignment="1" applyProtection="1">
      <alignment horizontal="center"/>
    </xf>
    <xf numFmtId="166" fontId="32" fillId="5" borderId="15" xfId="1" applyNumberFormat="1" applyFont="1" applyFill="1" applyBorder="1" applyAlignment="1" applyProtection="1">
      <alignment horizontal="center"/>
    </xf>
    <xf numFmtId="0" fontId="32" fillId="0" borderId="16" xfId="0" applyFont="1" applyBorder="1"/>
    <xf numFmtId="2" fontId="32" fillId="5" borderId="17" xfId="0" applyNumberFormat="1" applyFont="1" applyFill="1" applyBorder="1" applyAlignment="1" applyProtection="1">
      <alignment horizontal="center"/>
    </xf>
    <xf numFmtId="43" fontId="29" fillId="5" borderId="17" xfId="1" applyFont="1" applyFill="1" applyBorder="1" applyAlignment="1" applyProtection="1">
      <alignment horizontal="center"/>
    </xf>
    <xf numFmtId="0" fontId="0" fillId="0" borderId="0" xfId="0" applyFill="1" applyBorder="1"/>
    <xf numFmtId="166" fontId="32" fillId="5" borderId="13" xfId="1" applyNumberFormat="1" applyFont="1" applyFill="1" applyBorder="1" applyAlignment="1">
      <alignment horizontal="center"/>
    </xf>
    <xf numFmtId="9" fontId="32" fillId="5" borderId="15" xfId="0" applyNumberFormat="1" applyFont="1" applyFill="1" applyBorder="1" applyAlignment="1">
      <alignment horizontal="center"/>
    </xf>
    <xf numFmtId="166" fontId="32" fillId="5" borderId="15" xfId="1" applyNumberFormat="1" applyFont="1" applyFill="1" applyBorder="1" applyAlignment="1">
      <alignment horizontal="center"/>
    </xf>
    <xf numFmtId="43" fontId="29" fillId="5" borderId="17" xfId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166" fontId="0" fillId="5" borderId="11" xfId="1" applyNumberFormat="1" applyFont="1" applyFill="1" applyBorder="1" applyAlignment="1">
      <alignment horizontal="center" vertical="center"/>
    </xf>
    <xf numFmtId="43" fontId="0" fillId="5" borderId="11" xfId="1" applyFont="1" applyFill="1" applyBorder="1" applyAlignment="1">
      <alignment horizontal="center" vertical="center"/>
    </xf>
    <xf numFmtId="40" fontId="0" fillId="4" borderId="11" xfId="1" applyNumberFormat="1" applyFont="1" applyFill="1" applyBorder="1" applyAlignment="1" applyProtection="1">
      <alignment horizontal="center" vertical="center"/>
      <protection locked="0"/>
    </xf>
    <xf numFmtId="43" fontId="0" fillId="0" borderId="0" xfId="1" applyFon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left" vertical="center"/>
    </xf>
    <xf numFmtId="4" fontId="3" fillId="0" borderId="0" xfId="0" applyNumberFormat="1" applyFont="1"/>
    <xf numFmtId="43" fontId="0" fillId="0" borderId="0" xfId="0" applyNumberFormat="1"/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/>
    </xf>
    <xf numFmtId="17" fontId="11" fillId="0" borderId="5" xfId="0" applyNumberFormat="1" applyFont="1" applyBorder="1" applyAlignment="1" applyProtection="1">
      <alignment horizontal="left" wrapText="1"/>
    </xf>
    <xf numFmtId="43" fontId="11" fillId="5" borderId="1" xfId="1" applyFont="1" applyFill="1" applyBorder="1" applyAlignment="1" applyProtection="1">
      <alignment horizontal="center" wrapText="1"/>
    </xf>
    <xf numFmtId="171" fontId="11" fillId="5" borderId="1" xfId="2" applyNumberFormat="1" applyFont="1" applyFill="1" applyBorder="1" applyProtection="1"/>
    <xf numFmtId="165" fontId="16" fillId="2" borderId="1" xfId="0" applyNumberFormat="1" applyFont="1" applyFill="1" applyBorder="1" applyAlignment="1" applyProtection="1">
      <alignment horizontal="center"/>
    </xf>
    <xf numFmtId="4" fontId="16" fillId="2" borderId="1" xfId="3" applyNumberFormat="1" applyFont="1" applyFill="1" applyBorder="1" applyAlignment="1" applyProtection="1">
      <alignment horizontal="right" vertical="center"/>
    </xf>
    <xf numFmtId="3" fontId="16" fillId="2" borderId="1" xfId="3" applyNumberFormat="1" applyFont="1" applyFill="1" applyBorder="1" applyAlignment="1" applyProtection="1">
      <alignment horizontal="right" vertical="center"/>
    </xf>
    <xf numFmtId="0" fontId="7" fillId="0" borderId="0" xfId="4" applyAlignment="1"/>
    <xf numFmtId="0" fontId="11" fillId="3" borderId="5" xfId="4" applyFont="1" applyFill="1" applyBorder="1" applyAlignment="1" applyProtection="1">
      <alignment horizontal="center" vertical="center" wrapText="1"/>
    </xf>
    <xf numFmtId="0" fontId="11" fillId="3" borderId="1" xfId="4" applyFont="1" applyFill="1" applyBorder="1" applyAlignment="1" applyProtection="1">
      <alignment horizontal="center" vertical="center"/>
    </xf>
    <xf numFmtId="0" fontId="11" fillId="3" borderId="4" xfId="4" applyFont="1" applyFill="1" applyBorder="1" applyAlignment="1" applyProtection="1">
      <alignment horizontal="center" vertical="center" wrapText="1"/>
    </xf>
    <xf numFmtId="17" fontId="11" fillId="0" borderId="1" xfId="4" applyNumberFormat="1" applyFont="1" applyBorder="1" applyAlignment="1" applyProtection="1">
      <alignment horizontal="left" wrapText="1"/>
    </xf>
    <xf numFmtId="3" fontId="11" fillId="5" borderId="1" xfId="8" applyNumberFormat="1" applyFont="1" applyFill="1" applyBorder="1" applyAlignment="1" applyProtection="1">
      <alignment horizontal="right"/>
    </xf>
    <xf numFmtId="17" fontId="11" fillId="5" borderId="1" xfId="4" applyNumberFormat="1" applyFont="1" applyFill="1" applyBorder="1" applyAlignment="1" applyProtection="1">
      <alignment horizontal="center" wrapText="1"/>
    </xf>
    <xf numFmtId="165" fontId="11" fillId="5" borderId="1" xfId="8" applyNumberFormat="1" applyFont="1" applyFill="1" applyBorder="1" applyProtection="1"/>
    <xf numFmtId="0" fontId="9" fillId="0" borderId="1" xfId="4" applyFont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11" fillId="12" borderId="5" xfId="4" applyFont="1" applyFill="1" applyBorder="1" applyAlignment="1" applyProtection="1">
      <alignment horizontal="left" vertical="center" wrapText="1"/>
    </xf>
    <xf numFmtId="3" fontId="11" fillId="5" borderId="1" xfId="4" applyNumberFormat="1" applyFont="1" applyFill="1" applyBorder="1" applyAlignment="1" applyProtection="1">
      <alignment horizontal="right" vertical="center" wrapText="1"/>
    </xf>
    <xf numFmtId="0" fontId="19" fillId="5" borderId="4" xfId="4" applyFont="1" applyFill="1" applyBorder="1" applyAlignment="1" applyProtection="1">
      <alignment horizontal="center" vertical="center" wrapText="1"/>
    </xf>
    <xf numFmtId="0" fontId="8" fillId="0" borderId="0" xfId="4" applyFont="1" applyAlignment="1"/>
    <xf numFmtId="0" fontId="7" fillId="0" borderId="0" xfId="4">
      <alignment vertical="top"/>
    </xf>
    <xf numFmtId="0" fontId="19" fillId="5" borderId="22" xfId="4" applyFont="1" applyFill="1" applyBorder="1" applyAlignment="1" applyProtection="1">
      <alignment horizontal="center" vertical="center" wrapText="1"/>
    </xf>
    <xf numFmtId="165" fontId="19" fillId="5" borderId="1" xfId="8" applyNumberFormat="1" applyFont="1" applyFill="1" applyBorder="1" applyProtection="1"/>
    <xf numFmtId="0" fontId="7" fillId="0" borderId="0" xfId="4" applyFont="1">
      <alignment vertical="top"/>
    </xf>
    <xf numFmtId="0" fontId="10" fillId="2" borderId="4" xfId="4" applyFont="1" applyFill="1" applyBorder="1" applyAlignment="1" applyProtection="1">
      <alignment horizontal="center" vertical="center" wrapText="1"/>
    </xf>
    <xf numFmtId="0" fontId="10" fillId="2" borderId="5" xfId="4" applyFont="1" applyFill="1" applyBorder="1" applyAlignment="1" applyProtection="1">
      <alignment horizontal="center" vertical="center" wrapText="1"/>
    </xf>
    <xf numFmtId="3" fontId="7" fillId="0" borderId="0" xfId="4" applyNumberFormat="1">
      <alignment vertical="top"/>
    </xf>
    <xf numFmtId="0" fontId="11" fillId="12" borderId="0" xfId="0" applyFont="1" applyFill="1" applyAlignment="1">
      <alignment vertical="top"/>
    </xf>
    <xf numFmtId="0" fontId="16" fillId="2" borderId="23" xfId="4" applyFont="1" applyFill="1" applyBorder="1" applyAlignment="1" applyProtection="1">
      <alignment horizontal="center" vertical="center" wrapText="1"/>
    </xf>
    <xf numFmtId="0" fontId="16" fillId="2" borderId="23" xfId="4" applyFont="1" applyFill="1" applyBorder="1" applyAlignment="1" applyProtection="1">
      <alignment horizontal="center"/>
    </xf>
    <xf numFmtId="17" fontId="11" fillId="0" borderId="23" xfId="4" applyNumberFormat="1" applyFont="1" applyBorder="1" applyAlignment="1" applyProtection="1">
      <alignment horizontal="left"/>
    </xf>
    <xf numFmtId="168" fontId="11" fillId="5" borderId="23" xfId="8" applyNumberFormat="1" applyFont="1" applyFill="1" applyBorder="1" applyProtection="1"/>
    <xf numFmtId="0" fontId="35" fillId="0" borderId="0" xfId="0" applyFont="1" applyAlignment="1"/>
    <xf numFmtId="0" fontId="35" fillId="0" borderId="0" xfId="0" applyFont="1" applyAlignment="1">
      <alignment vertical="center"/>
    </xf>
    <xf numFmtId="0" fontId="11" fillId="12" borderId="0" xfId="0" applyFont="1" applyFill="1" applyAlignment="1">
      <alignment vertical="center"/>
    </xf>
    <xf numFmtId="0" fontId="11" fillId="6" borderId="1" xfId="0" applyFont="1" applyFill="1" applyBorder="1" applyAlignment="1">
      <alignment vertical="top"/>
    </xf>
    <xf numFmtId="3" fontId="11" fillId="5" borderId="1" xfId="0" applyNumberFormat="1" applyFont="1" applyFill="1" applyBorder="1" applyAlignment="1">
      <alignment vertical="top"/>
    </xf>
    <xf numFmtId="0" fontId="16" fillId="2" borderId="23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/>
    <xf numFmtId="3" fontId="11" fillId="5" borderId="1" xfId="0" applyNumberFormat="1" applyFont="1" applyFill="1" applyBorder="1" applyAlignment="1"/>
    <xf numFmtId="3" fontId="16" fillId="2" borderId="23" xfId="0" applyNumberFormat="1" applyFont="1" applyFill="1" applyBorder="1" applyAlignment="1" applyProtection="1">
      <alignment horizontal="right" vertical="center"/>
    </xf>
    <xf numFmtId="0" fontId="15" fillId="6" borderId="0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vertical="top"/>
    </xf>
    <xf numFmtId="0" fontId="20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right" vertical="center"/>
    </xf>
    <xf numFmtId="0" fontId="37" fillId="12" borderId="0" xfId="0" applyFont="1" applyFill="1" applyAlignment="1">
      <alignment vertical="top"/>
    </xf>
    <xf numFmtId="4" fontId="11" fillId="0" borderId="0" xfId="0" applyNumberFormat="1" applyFont="1" applyFill="1" applyBorder="1" applyAlignment="1">
      <alignment vertical="top"/>
    </xf>
    <xf numFmtId="0" fontId="11" fillId="3" borderId="5" xfId="0" applyFont="1" applyFill="1" applyBorder="1" applyAlignment="1" applyProtection="1">
      <alignment horizontal="center" vertical="center" wrapText="1"/>
    </xf>
    <xf numFmtId="4" fontId="11" fillId="5" borderId="5" xfId="0" applyNumberFormat="1" applyFont="1" applyFill="1" applyBorder="1" applyAlignment="1" applyProtection="1">
      <alignment horizontal="center" wrapText="1"/>
    </xf>
    <xf numFmtId="171" fontId="11" fillId="5" borderId="1" xfId="3" applyNumberFormat="1" applyFont="1" applyFill="1" applyBorder="1" applyAlignment="1" applyProtection="1">
      <alignment horizontal="center" wrapText="1"/>
    </xf>
    <xf numFmtId="165" fontId="11" fillId="5" borderId="1" xfId="0" applyNumberFormat="1" applyFont="1" applyFill="1" applyBorder="1" applyAlignment="1" applyProtection="1">
      <alignment horizontal="center" wrapText="1"/>
    </xf>
    <xf numFmtId="165" fontId="11" fillId="5" borderId="1" xfId="2" applyNumberFormat="1" applyFont="1" applyFill="1" applyBorder="1" applyProtection="1"/>
    <xf numFmtId="0" fontId="9" fillId="0" borderId="5" xfId="0" applyFont="1" applyBorder="1" applyAlignment="1">
      <alignment wrapText="1"/>
    </xf>
    <xf numFmtId="165" fontId="9" fillId="5" borderId="1" xfId="0" applyNumberFormat="1" applyFont="1" applyFill="1" applyBorder="1" applyAlignment="1">
      <alignment horizontal="center" wrapText="1"/>
    </xf>
    <xf numFmtId="4" fontId="9" fillId="5" borderId="5" xfId="0" applyNumberFormat="1" applyFont="1" applyFill="1" applyBorder="1" applyAlignment="1">
      <alignment horizontal="center" wrapText="1"/>
    </xf>
    <xf numFmtId="171" fontId="11" fillId="5" borderId="24" xfId="3" applyNumberFormat="1" applyFont="1" applyFill="1" applyBorder="1" applyAlignment="1" applyProtection="1">
      <alignment horizontal="center" wrapText="1"/>
    </xf>
    <xf numFmtId="10" fontId="11" fillId="5" borderId="24" xfId="3" applyNumberFormat="1" applyFont="1" applyFill="1" applyBorder="1" applyAlignment="1" applyProtection="1">
      <alignment horizontal="center" wrapText="1"/>
    </xf>
    <xf numFmtId="10" fontId="16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10" fontId="11" fillId="5" borderId="1" xfId="0" applyNumberFormat="1" applyFont="1" applyFill="1" applyBorder="1" applyAlignment="1" applyProtection="1">
      <alignment horizontal="center" wrapText="1"/>
    </xf>
    <xf numFmtId="10" fontId="16" fillId="2" borderId="1" xfId="3" applyNumberFormat="1" applyFont="1" applyFill="1" applyBorder="1" applyAlignment="1" applyProtection="1">
      <alignment horizontal="center" vertical="center"/>
    </xf>
    <xf numFmtId="171" fontId="11" fillId="5" borderId="1" xfId="0" applyNumberFormat="1" applyFont="1" applyFill="1" applyBorder="1" applyAlignment="1" applyProtection="1">
      <alignment horizontal="center" wrapText="1"/>
    </xf>
    <xf numFmtId="0" fontId="9" fillId="6" borderId="0" xfId="9" applyFont="1" applyFill="1"/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7" fontId="11" fillId="0" borderId="28" xfId="0" applyNumberFormat="1" applyFont="1" applyBorder="1" applyAlignment="1" applyProtection="1">
      <alignment horizontal="left"/>
    </xf>
    <xf numFmtId="49" fontId="11" fillId="4" borderId="23" xfId="2" applyNumberFormat="1" applyFont="1" applyFill="1" applyBorder="1" applyAlignment="1" applyProtection="1">
      <alignment horizontal="right"/>
    </xf>
    <xf numFmtId="0" fontId="9" fillId="6" borderId="0" xfId="0" applyFont="1" applyFill="1"/>
    <xf numFmtId="17" fontId="11" fillId="0" borderId="28" xfId="0" applyNumberFormat="1" applyFont="1" applyBorder="1" applyAlignment="1" applyProtection="1">
      <alignment horizontal="center"/>
    </xf>
    <xf numFmtId="164" fontId="11" fillId="5" borderId="23" xfId="2" applyNumberFormat="1" applyFont="1" applyFill="1" applyBorder="1" applyAlignment="1" applyProtection="1">
      <alignment horizontal="right"/>
    </xf>
    <xf numFmtId="17" fontId="11" fillId="0" borderId="23" xfId="0" applyNumberFormat="1" applyFont="1" applyBorder="1" applyAlignment="1" applyProtection="1">
      <alignment horizontal="left"/>
    </xf>
    <xf numFmtId="17" fontId="11" fillId="0" borderId="25" xfId="0" applyNumberFormat="1" applyFont="1" applyBorder="1" applyAlignment="1" applyProtection="1">
      <alignment horizontal="left"/>
    </xf>
    <xf numFmtId="17" fontId="11" fillId="12" borderId="23" xfId="0" applyNumberFormat="1" applyFont="1" applyFill="1" applyBorder="1" applyAlignment="1" applyProtection="1">
      <alignment horizontal="left"/>
    </xf>
    <xf numFmtId="17" fontId="11" fillId="12" borderId="23" xfId="0" applyNumberFormat="1" applyFont="1" applyFill="1" applyBorder="1" applyAlignment="1" applyProtection="1">
      <alignment horizontal="center"/>
    </xf>
    <xf numFmtId="10" fontId="16" fillId="2" borderId="23" xfId="3" applyNumberFormat="1" applyFont="1" applyFill="1" applyBorder="1" applyAlignment="1">
      <alignment horizontal="right" vertical="center"/>
    </xf>
    <xf numFmtId="0" fontId="9" fillId="6" borderId="0" xfId="9" applyFont="1" applyFill="1" applyAlignment="1">
      <alignment horizontal="center" vertical="center"/>
    </xf>
    <xf numFmtId="2" fontId="9" fillId="6" borderId="0" xfId="9" applyNumberFormat="1" applyFont="1" applyFill="1"/>
    <xf numFmtId="4" fontId="11" fillId="5" borderId="23" xfId="2" applyNumberFormat="1" applyFont="1" applyFill="1" applyBorder="1" applyAlignment="1" applyProtection="1">
      <alignment horizontal="right"/>
    </xf>
    <xf numFmtId="4" fontId="11" fillId="5" borderId="23" xfId="2" applyNumberFormat="1" applyFont="1" applyFill="1" applyBorder="1" applyProtection="1"/>
    <xf numFmtId="0" fontId="14" fillId="0" borderId="0" xfId="0" applyFont="1" applyAlignment="1">
      <alignment horizontal="right"/>
    </xf>
    <xf numFmtId="0" fontId="19" fillId="0" borderId="0" xfId="0" applyFont="1" applyAlignment="1"/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11" fillId="5" borderId="1" xfId="0" applyNumberFormat="1" applyFont="1" applyFill="1" applyBorder="1" applyAlignment="1">
      <alignment horizontal="center"/>
    </xf>
    <xf numFmtId="0" fontId="44" fillId="0" borderId="0" xfId="0" applyFont="1"/>
    <xf numFmtId="2" fontId="9" fillId="5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0" fontId="16" fillId="2" borderId="4" xfId="0" applyNumberFormat="1" applyFont="1" applyFill="1" applyBorder="1" applyAlignment="1">
      <alignment horizontal="right" vertical="center"/>
    </xf>
    <xf numFmtId="0" fontId="46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10" fontId="46" fillId="0" borderId="0" xfId="0" applyNumberFormat="1" applyFont="1" applyBorder="1" applyAlignment="1">
      <alignment horizontal="right" vertical="center"/>
    </xf>
    <xf numFmtId="43" fontId="9" fillId="0" borderId="0" xfId="1" applyFont="1"/>
    <xf numFmtId="2" fontId="9" fillId="0" borderId="0" xfId="0" applyNumberFormat="1" applyFont="1"/>
    <xf numFmtId="10" fontId="0" fillId="0" borderId="0" xfId="3" applyNumberFormat="1" applyFont="1"/>
    <xf numFmtId="0" fontId="0" fillId="0" borderId="0" xfId="0" applyAlignment="1">
      <alignment horizontal="center"/>
    </xf>
    <xf numFmtId="0" fontId="4" fillId="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3" fontId="0" fillId="0" borderId="11" xfId="1" applyFont="1" applyBorder="1"/>
    <xf numFmtId="4" fontId="4" fillId="0" borderId="11" xfId="0" applyNumberFormat="1" applyFont="1" applyBorder="1"/>
    <xf numFmtId="4" fontId="0" fillId="0" borderId="11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3" borderId="11" xfId="0" applyFont="1" applyFill="1" applyBorder="1"/>
    <xf numFmtId="173" fontId="4" fillId="3" borderId="11" xfId="1" applyNumberFormat="1" applyFont="1" applyFill="1" applyBorder="1"/>
    <xf numFmtId="0" fontId="4" fillId="13" borderId="11" xfId="0" applyFont="1" applyFill="1" applyBorder="1"/>
    <xf numFmtId="43" fontId="4" fillId="13" borderId="11" xfId="0" applyNumberFormat="1" applyFont="1" applyFill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43" fontId="4" fillId="0" borderId="11" xfId="1" applyFont="1" applyBorder="1"/>
    <xf numFmtId="3" fontId="0" fillId="15" borderId="11" xfId="0" applyNumberFormat="1" applyFont="1" applyFill="1" applyBorder="1"/>
    <xf numFmtId="4" fontId="0" fillId="3" borderId="11" xfId="0" applyNumberFormat="1" applyFont="1" applyFill="1" applyBorder="1" applyAlignment="1">
      <alignment horizontal="center"/>
    </xf>
    <xf numFmtId="3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 applyAlignment="1">
      <alignment horizontal="left"/>
    </xf>
    <xf numFmtId="3" fontId="0" fillId="15" borderId="11" xfId="0" applyNumberFormat="1" applyFont="1" applyFill="1" applyBorder="1" applyAlignment="1">
      <alignment horizontal="center"/>
    </xf>
    <xf numFmtId="3" fontId="0" fillId="16" borderId="11" xfId="0" applyNumberFormat="1" applyFont="1" applyFill="1" applyBorder="1"/>
    <xf numFmtId="3" fontId="0" fillId="16" borderId="11" xfId="0" applyNumberFormat="1" applyFont="1" applyFill="1" applyBorder="1" applyAlignment="1">
      <alignment horizontal="center"/>
    </xf>
    <xf numFmtId="4" fontId="0" fillId="3" borderId="11" xfId="0" applyNumberFormat="1" applyFill="1" applyBorder="1" applyAlignment="1">
      <alignment horizontal="center"/>
    </xf>
    <xf numFmtId="3" fontId="48" fillId="9" borderId="1" xfId="0" applyNumberFormat="1" applyFont="1" applyFill="1" applyBorder="1" applyAlignment="1" applyProtection="1">
      <alignment vertical="center"/>
    </xf>
    <xf numFmtId="3" fontId="23" fillId="5" borderId="1" xfId="0" applyNumberFormat="1" applyFont="1" applyFill="1" applyBorder="1" applyAlignment="1" applyProtection="1">
      <alignment horizontal="right"/>
    </xf>
    <xf numFmtId="3" fontId="11" fillId="4" borderId="1" xfId="2" applyNumberFormat="1" applyFont="1" applyFill="1" applyBorder="1" applyAlignment="1" applyProtection="1">
      <alignment horizontal="right"/>
      <protection locked="0"/>
    </xf>
    <xf numFmtId="3" fontId="23" fillId="11" borderId="1" xfId="2" applyNumberFormat="1" applyFont="1" applyFill="1" applyBorder="1" applyAlignment="1" applyProtection="1">
      <alignment horizontal="right"/>
      <protection locked="0"/>
    </xf>
    <xf numFmtId="17" fontId="11" fillId="0" borderId="23" xfId="0" applyNumberFormat="1" applyFont="1" applyBorder="1" applyAlignment="1" applyProtection="1">
      <alignment horizontal="center"/>
    </xf>
    <xf numFmtId="164" fontId="11" fillId="5" borderId="23" xfId="2" applyNumberFormat="1" applyFont="1" applyFill="1" applyBorder="1" applyProtection="1"/>
    <xf numFmtId="43" fontId="49" fillId="0" borderId="11" xfId="1" applyFont="1" applyBorder="1"/>
    <xf numFmtId="4" fontId="50" fillId="0" borderId="11" xfId="0" applyNumberFormat="1" applyFont="1" applyBorder="1" applyAlignment="1">
      <alignment horizontal="right"/>
    </xf>
    <xf numFmtId="4" fontId="50" fillId="0" borderId="11" xfId="0" applyNumberFormat="1" applyFont="1" applyBorder="1"/>
    <xf numFmtId="3" fontId="49" fillId="0" borderId="11" xfId="0" applyNumberFormat="1" applyFont="1" applyBorder="1" applyAlignment="1">
      <alignment horizontal="right"/>
    </xf>
    <xf numFmtId="175" fontId="50" fillId="0" borderId="11" xfId="0" applyNumberFormat="1" applyFont="1" applyBorder="1" applyAlignment="1">
      <alignment horizontal="right"/>
    </xf>
    <xf numFmtId="174" fontId="49" fillId="0" borderId="11" xfId="0" applyNumberFormat="1" applyFont="1" applyBorder="1" applyAlignment="1">
      <alignment horizontal="right"/>
    </xf>
    <xf numFmtId="4" fontId="49" fillId="15" borderId="11" xfId="0" applyNumberFormat="1" applyFont="1" applyFill="1" applyBorder="1" applyAlignment="1">
      <alignment horizontal="right"/>
    </xf>
    <xf numFmtId="4" fontId="50" fillId="15" borderId="11" xfId="0" applyNumberFormat="1" applyFont="1" applyFill="1" applyBorder="1" applyAlignment="1">
      <alignment horizontal="right"/>
    </xf>
    <xf numFmtId="4" fontId="49" fillId="16" borderId="11" xfId="0" applyNumberFormat="1" applyFont="1" applyFill="1" applyBorder="1" applyAlignment="1">
      <alignment horizontal="right"/>
    </xf>
    <xf numFmtId="4" fontId="50" fillId="16" borderId="11" xfId="0" applyNumberFormat="1" applyFont="1" applyFill="1" applyBorder="1" applyAlignment="1">
      <alignment horizontal="right"/>
    </xf>
    <xf numFmtId="4" fontId="50" fillId="13" borderId="11" xfId="0" applyNumberFormat="1" applyFont="1" applyFill="1" applyBorder="1" applyAlignment="1"/>
    <xf numFmtId="173" fontId="50" fillId="13" borderId="11" xfId="1" applyNumberFormat="1" applyFont="1" applyFill="1" applyBorder="1" applyAlignment="1"/>
    <xf numFmtId="164" fontId="19" fillId="3" borderId="27" xfId="0" applyNumberFormat="1" applyFont="1" applyFill="1" applyBorder="1" applyAlignment="1">
      <alignment vertical="center"/>
    </xf>
    <xf numFmtId="9" fontId="0" fillId="5" borderId="11" xfId="3" applyNumberFormat="1" applyFont="1" applyFill="1" applyBorder="1" applyAlignment="1">
      <alignment horizontal="center" vertical="center"/>
    </xf>
    <xf numFmtId="4" fontId="11" fillId="12" borderId="0" xfId="0" applyNumberFormat="1" applyFont="1" applyFill="1" applyAlignment="1">
      <alignment vertical="top"/>
    </xf>
    <xf numFmtId="43" fontId="11" fillId="12" borderId="0" xfId="1" applyFont="1" applyFill="1" applyAlignment="1">
      <alignment vertical="top"/>
    </xf>
    <xf numFmtId="0" fontId="11" fillId="12" borderId="0" xfId="0" quotePrefix="1" applyFont="1" applyFill="1" applyAlignment="1">
      <alignment vertical="top"/>
    </xf>
    <xf numFmtId="43" fontId="11" fillId="12" borderId="0" xfId="0" applyNumberFormat="1" applyFont="1" applyFill="1" applyAlignment="1">
      <alignment vertical="top"/>
    </xf>
    <xf numFmtId="0" fontId="9" fillId="0" borderId="0" xfId="0" applyFont="1" applyFill="1"/>
    <xf numFmtId="3" fontId="9" fillId="0" borderId="0" xfId="0" applyNumberFormat="1" applyFont="1" applyFill="1"/>
    <xf numFmtId="0" fontId="0" fillId="0" borderId="0" xfId="0" applyFill="1"/>
    <xf numFmtId="0" fontId="16" fillId="2" borderId="5" xfId="0" applyFont="1" applyFill="1" applyBorder="1" applyAlignment="1" applyProtection="1">
      <alignment horizontal="right" vertical="center" wrapText="1"/>
    </xf>
    <xf numFmtId="0" fontId="0" fillId="0" borderId="0" xfId="0"/>
    <xf numFmtId="170" fontId="9" fillId="0" borderId="19" xfId="0" applyNumberFormat="1" applyFont="1" applyBorder="1" applyAlignment="1">
      <alignment horizontal="center" wrapText="1"/>
    </xf>
    <xf numFmtId="0" fontId="34" fillId="0" borderId="0" xfId="0" applyFont="1"/>
    <xf numFmtId="3" fontId="11" fillId="5" borderId="1" xfId="2" applyNumberFormat="1" applyFont="1" applyFill="1" applyBorder="1" applyAlignment="1" applyProtection="1">
      <alignment horizontal="right"/>
    </xf>
    <xf numFmtId="0" fontId="7" fillId="0" borderId="0" xfId="13"/>
    <xf numFmtId="0" fontId="7" fillId="0" borderId="0" xfId="13" applyFill="1"/>
    <xf numFmtId="0" fontId="7" fillId="0" borderId="0" xfId="13" applyFont="1" applyAlignment="1">
      <alignment vertical="center"/>
    </xf>
    <xf numFmtId="0" fontId="51" fillId="17" borderId="0" xfId="14" applyFont="1" applyFill="1" applyAlignment="1">
      <alignment vertical="center"/>
    </xf>
    <xf numFmtId="0" fontId="52" fillId="17" borderId="0" xfId="0" applyFont="1" applyFill="1"/>
    <xf numFmtId="0" fontId="52" fillId="0" borderId="0" xfId="0" applyFont="1"/>
    <xf numFmtId="0" fontId="52" fillId="0" borderId="0" xfId="0" applyFont="1" applyFill="1"/>
    <xf numFmtId="0" fontId="53" fillId="0" borderId="0" xfId="0" applyFont="1" applyFill="1"/>
    <xf numFmtId="0" fontId="53" fillId="17" borderId="0" xfId="0" applyFont="1" applyFill="1"/>
    <xf numFmtId="0" fontId="53" fillId="0" borderId="0" xfId="0" applyFont="1"/>
    <xf numFmtId="0" fontId="54" fillId="0" borderId="0" xfId="13" applyFont="1" applyAlignment="1">
      <alignment vertical="center"/>
    </xf>
    <xf numFmtId="0" fontId="55" fillId="17" borderId="0" xfId="14" applyFont="1" applyFill="1" applyAlignment="1">
      <alignment horizontal="left" vertical="center" indent="1"/>
    </xf>
    <xf numFmtId="0" fontId="6" fillId="17" borderId="0" xfId="0" applyFont="1" applyFill="1"/>
    <xf numFmtId="0" fontId="6" fillId="0" borderId="0" xfId="0" applyFont="1"/>
    <xf numFmtId="0" fontId="6" fillId="0" borderId="0" xfId="0" applyFont="1" applyFill="1"/>
    <xf numFmtId="0" fontId="55" fillId="17" borderId="0" xfId="0" applyFont="1" applyFill="1" applyAlignment="1">
      <alignment horizontal="left" indent="1"/>
    </xf>
    <xf numFmtId="0" fontId="7" fillId="0" borderId="0" xfId="13" applyAlignment="1">
      <alignment vertical="center"/>
    </xf>
    <xf numFmtId="0" fontId="27" fillId="17" borderId="0" xfId="14" applyFont="1" applyFill="1" applyAlignment="1">
      <alignment horizontal="left" vertical="center" indent="1"/>
    </xf>
    <xf numFmtId="0" fontId="56" fillId="17" borderId="0" xfId="13" applyFont="1" applyFill="1" applyAlignment="1">
      <alignment vertical="center"/>
    </xf>
    <xf numFmtId="0" fontId="56" fillId="0" borderId="0" xfId="13" applyFont="1" applyAlignment="1">
      <alignment vertical="center"/>
    </xf>
    <xf numFmtId="0" fontId="56" fillId="0" borderId="0" xfId="13" applyFont="1" applyFill="1" applyAlignment="1">
      <alignment vertical="center"/>
    </xf>
    <xf numFmtId="0" fontId="56" fillId="0" borderId="0" xfId="13" applyFont="1"/>
    <xf numFmtId="0" fontId="8" fillId="5" borderId="30" xfId="13" applyFont="1" applyFill="1" applyBorder="1" applyAlignment="1">
      <alignment horizontal="centerContinuous" vertical="center"/>
    </xf>
    <xf numFmtId="0" fontId="7" fillId="0" borderId="0" xfId="13" applyFont="1" applyFill="1" applyAlignment="1">
      <alignment vertical="center"/>
    </xf>
    <xf numFmtId="0" fontId="7" fillId="0" borderId="0" xfId="13" applyFont="1" applyBorder="1" applyAlignment="1">
      <alignment vertical="center"/>
    </xf>
    <xf numFmtId="0" fontId="7" fillId="0" borderId="0" xfId="14" applyFont="1" applyBorder="1" applyAlignment="1">
      <alignment vertical="center"/>
    </xf>
    <xf numFmtId="10" fontId="7" fillId="0" borderId="0" xfId="3" applyNumberFormat="1" applyFont="1" applyFill="1" applyBorder="1" applyAlignment="1">
      <alignment horizontal="center"/>
    </xf>
    <xf numFmtId="0" fontId="7" fillId="0" borderId="31" xfId="14" applyFont="1" applyBorder="1" applyAlignment="1">
      <alignment horizontal="left" vertical="center"/>
    </xf>
    <xf numFmtId="10" fontId="7" fillId="0" borderId="31" xfId="3" applyNumberFormat="1" applyFont="1" applyFill="1" applyBorder="1" applyAlignment="1">
      <alignment horizontal="center"/>
    </xf>
    <xf numFmtId="0" fontId="8" fillId="5" borderId="30" xfId="13" applyFont="1" applyFill="1" applyBorder="1" applyAlignment="1">
      <alignment vertical="center"/>
    </xf>
    <xf numFmtId="0" fontId="8" fillId="5" borderId="30" xfId="13" applyFont="1" applyFill="1" applyBorder="1" applyAlignment="1">
      <alignment horizontal="center" vertical="center"/>
    </xf>
    <xf numFmtId="176" fontId="7" fillId="0" borderId="0" xfId="11" applyNumberFormat="1" applyFont="1" applyFill="1" applyBorder="1"/>
    <xf numFmtId="0" fontId="23" fillId="0" borderId="0" xfId="10" applyFont="1" applyFill="1" applyBorder="1" applyAlignment="1">
      <alignment vertical="center" wrapText="1"/>
    </xf>
    <xf numFmtId="0" fontId="7" fillId="0" borderId="0" xfId="14" applyFont="1" applyBorder="1" applyAlignment="1">
      <alignment horizontal="left" vertical="center"/>
    </xf>
    <xf numFmtId="43" fontId="7" fillId="0" borderId="0" xfId="1" applyFont="1" applyBorder="1" applyAlignment="1">
      <alignment vertical="center"/>
    </xf>
    <xf numFmtId="0" fontId="8" fillId="0" borderId="32" xfId="13" applyFont="1" applyBorder="1" applyAlignment="1">
      <alignment vertical="center"/>
    </xf>
    <xf numFmtId="176" fontId="8" fillId="0" borderId="32" xfId="11" applyNumberFormat="1" applyFont="1" applyFill="1" applyBorder="1"/>
    <xf numFmtId="43" fontId="7" fillId="0" borderId="0" xfId="1" applyFont="1" applyAlignment="1">
      <alignment vertical="center"/>
    </xf>
    <xf numFmtId="0" fontId="8" fillId="0" borderId="0" xfId="14" applyFont="1" applyBorder="1" applyAlignment="1">
      <alignment vertical="center"/>
    </xf>
    <xf numFmtId="176" fontId="8" fillId="0" borderId="0" xfId="11" applyNumberFormat="1" applyFont="1" applyFill="1" applyBorder="1"/>
    <xf numFmtId="0" fontId="7" fillId="0" borderId="0" xfId="14" applyFont="1" applyBorder="1" applyAlignment="1">
      <alignment horizontal="left" vertical="center" indent="1"/>
    </xf>
    <xf numFmtId="0" fontId="7" fillId="0" borderId="0" xfId="14" applyFont="1" applyFill="1" applyBorder="1" applyAlignment="1">
      <alignment vertical="center"/>
    </xf>
    <xf numFmtId="4" fontId="7" fillId="0" borderId="0" xfId="13" applyNumberFormat="1" applyFont="1" applyFill="1" applyAlignment="1">
      <alignment vertical="center"/>
    </xf>
    <xf numFmtId="0" fontId="8" fillId="0" borderId="0" xfId="13" applyFont="1" applyBorder="1" applyAlignment="1">
      <alignment vertical="center"/>
    </xf>
    <xf numFmtId="43" fontId="7" fillId="0" borderId="0" xfId="1" applyFont="1" applyFill="1" applyAlignment="1">
      <alignment vertical="center"/>
    </xf>
    <xf numFmtId="10" fontId="7" fillId="0" borderId="0" xfId="3" applyNumberFormat="1" applyFont="1" applyFill="1" applyAlignment="1">
      <alignment vertical="center"/>
    </xf>
    <xf numFmtId="10" fontId="7" fillId="0" borderId="0" xfId="3" applyNumberFormat="1" applyFont="1" applyFill="1" applyBorder="1"/>
    <xf numFmtId="10" fontId="7" fillId="0" borderId="0" xfId="13" applyNumberFormat="1" applyFont="1" applyFill="1" applyAlignment="1">
      <alignment vertical="center"/>
    </xf>
    <xf numFmtId="0" fontId="57" fillId="17" borderId="32" xfId="13" applyFont="1" applyFill="1" applyBorder="1" applyAlignment="1">
      <alignment vertical="center"/>
    </xf>
    <xf numFmtId="10" fontId="57" fillId="17" borderId="32" xfId="3" applyNumberFormat="1" applyFont="1" applyFill="1" applyBorder="1" applyAlignment="1">
      <alignment vertical="center"/>
    </xf>
    <xf numFmtId="0" fontId="7" fillId="0" borderId="0" xfId="14" applyFont="1" applyAlignment="1">
      <alignment vertical="center"/>
    </xf>
    <xf numFmtId="0" fontId="8" fillId="13" borderId="0" xfId="14" applyFont="1" applyFill="1" applyAlignment="1">
      <alignment horizontal="left" vertical="center"/>
    </xf>
    <xf numFmtId="10" fontId="8" fillId="13" borderId="0" xfId="3" applyNumberFormat="1" applyFont="1" applyFill="1" applyAlignment="1">
      <alignment vertical="center"/>
    </xf>
    <xf numFmtId="0" fontId="8" fillId="13" borderId="0" xfId="14" applyFont="1" applyFill="1" applyAlignment="1">
      <alignment vertical="center"/>
    </xf>
    <xf numFmtId="0" fontId="57" fillId="17" borderId="0" xfId="14" applyFont="1" applyFill="1" applyAlignment="1">
      <alignment vertical="center"/>
    </xf>
    <xf numFmtId="10" fontId="57" fillId="17" borderId="0" xfId="3" applyNumberFormat="1" applyFont="1" applyFill="1" applyAlignment="1">
      <alignment vertical="center"/>
    </xf>
    <xf numFmtId="0" fontId="7" fillId="17" borderId="0" xfId="13" applyFont="1" applyFill="1" applyAlignment="1">
      <alignment vertical="center"/>
    </xf>
    <xf numFmtId="0" fontId="57" fillId="17" borderId="0" xfId="14" applyFont="1" applyFill="1" applyAlignment="1">
      <alignment horizontal="centerContinuous" vertical="center"/>
    </xf>
    <xf numFmtId="10" fontId="57" fillId="17" borderId="0" xfId="3" applyNumberFormat="1" applyFont="1" applyFill="1" applyAlignment="1">
      <alignment horizontal="centerContinuous" vertical="center"/>
    </xf>
    <xf numFmtId="0" fontId="7" fillId="0" borderId="0" xfId="13" applyFont="1"/>
    <xf numFmtId="0" fontId="8" fillId="0" borderId="0" xfId="13" applyFont="1" applyFill="1" applyAlignment="1">
      <alignment horizontal="center"/>
    </xf>
    <xf numFmtId="166" fontId="7" fillId="0" borderId="0" xfId="1" applyNumberFormat="1" applyFont="1" applyFill="1"/>
    <xf numFmtId="166" fontId="7" fillId="0" borderId="0" xfId="1" applyNumberFormat="1" applyFont="1" applyFill="1" applyAlignment="1">
      <alignment vertical="center"/>
    </xf>
    <xf numFmtId="176" fontId="7" fillId="0" borderId="0" xfId="13" applyNumberFormat="1" applyFill="1"/>
    <xf numFmtId="0" fontId="7" fillId="0" borderId="10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2" fontId="9" fillId="6" borderId="7" xfId="9" applyNumberFormat="1" applyFont="1" applyFill="1" applyBorder="1"/>
    <xf numFmtId="164" fontId="11" fillId="5" borderId="11" xfId="2" applyNumberFormat="1" applyFont="1" applyFill="1" applyBorder="1" applyProtection="1"/>
    <xf numFmtId="17" fontId="11" fillId="0" borderId="11" xfId="0" applyNumberFormat="1" applyFont="1" applyBorder="1" applyAlignment="1" applyProtection="1">
      <alignment horizontal="center"/>
    </xf>
    <xf numFmtId="17" fontId="11" fillId="0" borderId="11" xfId="0" applyNumberFormat="1" applyFont="1" applyBorder="1" applyAlignment="1" applyProtection="1">
      <alignment horizontal="left"/>
    </xf>
    <xf numFmtId="0" fontId="7" fillId="0" borderId="11" xfId="13" applyFont="1" applyFill="1" applyBorder="1" applyAlignment="1">
      <alignment vertical="center"/>
    </xf>
    <xf numFmtId="2" fontId="9" fillId="6" borderId="11" xfId="9" applyNumberFormat="1" applyFont="1" applyFill="1" applyBorder="1"/>
    <xf numFmtId="164" fontId="11" fillId="5" borderId="7" xfId="2" applyNumberFormat="1" applyFont="1" applyFill="1" applyBorder="1" applyProtection="1"/>
    <xf numFmtId="1" fontId="58" fillId="18" borderId="0" xfId="4" applyNumberFormat="1" applyFont="1" applyFill="1" applyBorder="1" applyAlignment="1">
      <alignment horizontal="center" vertical="center"/>
    </xf>
    <xf numFmtId="0" fontId="59" fillId="0" borderId="0" xfId="13" applyFont="1" applyFill="1" applyAlignment="1">
      <alignment horizontal="center" vertical="center"/>
    </xf>
    <xf numFmtId="43" fontId="57" fillId="19" borderId="0" xfId="1" applyFont="1" applyFill="1" applyAlignment="1">
      <alignment vertical="center"/>
    </xf>
    <xf numFmtId="166" fontId="60" fillId="4" borderId="11" xfId="1" applyNumberFormat="1" applyFont="1" applyFill="1" applyBorder="1" applyAlignment="1" applyProtection="1">
      <alignment horizontal="center"/>
      <protection locked="0"/>
    </xf>
    <xf numFmtId="178" fontId="0" fillId="0" borderId="0" xfId="0" applyNumberFormat="1"/>
    <xf numFmtId="0" fontId="0" fillId="0" borderId="0" xfId="0" applyAlignment="1">
      <alignment horizontal="left"/>
    </xf>
    <xf numFmtId="0" fontId="0" fillId="5" borderId="11" xfId="0" applyFill="1" applyBorder="1" applyAlignment="1">
      <alignment horizontal="center"/>
    </xf>
    <xf numFmtId="43" fontId="0" fillId="5" borderId="11" xfId="1" applyFont="1" applyFill="1" applyBorder="1"/>
    <xf numFmtId="43" fontId="49" fillId="5" borderId="11" xfId="1" applyFont="1" applyFill="1" applyBorder="1"/>
    <xf numFmtId="0" fontId="11" fillId="0" borderId="0" xfId="0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vertical="center"/>
    </xf>
    <xf numFmtId="3" fontId="11" fillId="5" borderId="23" xfId="2" applyNumberFormat="1" applyFont="1" applyFill="1" applyBorder="1" applyProtection="1"/>
    <xf numFmtId="17" fontId="7" fillId="0" borderId="33" xfId="13" applyNumberFormat="1" applyFont="1" applyBorder="1" applyAlignment="1">
      <alignment horizontal="center"/>
    </xf>
    <xf numFmtId="3" fontId="11" fillId="0" borderId="23" xfId="2" applyNumberFormat="1" applyFont="1" applyFill="1" applyBorder="1" applyProtection="1"/>
    <xf numFmtId="4" fontId="11" fillId="0" borderId="23" xfId="2" applyNumberFormat="1" applyFont="1" applyFill="1" applyBorder="1" applyProtection="1"/>
    <xf numFmtId="17" fontId="11" fillId="0" borderId="0" xfId="0" applyNumberFormat="1" applyFont="1" applyBorder="1" applyAlignment="1" applyProtection="1">
      <alignment horizontal="center"/>
    </xf>
    <xf numFmtId="3" fontId="11" fillId="0" borderId="0" xfId="2" applyNumberFormat="1" applyFont="1" applyFill="1" applyBorder="1" applyProtection="1"/>
    <xf numFmtId="17" fontId="8" fillId="0" borderId="33" xfId="13" applyNumberFormat="1" applyFont="1" applyBorder="1" applyAlignment="1">
      <alignment horizontal="center"/>
    </xf>
    <xf numFmtId="4" fontId="19" fillId="0" borderId="23" xfId="2" applyNumberFormat="1" applyFont="1" applyFill="1" applyBorder="1" applyProtection="1"/>
    <xf numFmtId="164" fontId="19" fillId="0" borderId="23" xfId="2" applyNumberFormat="1" applyFont="1" applyFill="1" applyBorder="1" applyProtection="1"/>
    <xf numFmtId="17" fontId="8" fillId="0" borderId="37" xfId="13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4" fillId="6" borderId="0" xfId="9" applyFont="1" applyFill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58" fillId="18" borderId="0" xfId="4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top"/>
    </xf>
    <xf numFmtId="0" fontId="62" fillId="0" borderId="0" xfId="0" applyFont="1" applyAlignment="1">
      <alignment horizontal="center" vertical="top"/>
    </xf>
    <xf numFmtId="0" fontId="19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2" borderId="5" xfId="0" applyFont="1" applyFill="1" applyBorder="1" applyAlignment="1" applyProtection="1">
      <alignment horizontal="left" vertical="center" wrapText="1"/>
    </xf>
    <xf numFmtId="0" fontId="16" fillId="2" borderId="21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9" fillId="3" borderId="5" xfId="0" applyFont="1" applyFill="1" applyBorder="1" applyAlignment="1" applyProtection="1">
      <alignment horizontal="center" vertical="center" wrapText="1"/>
    </xf>
    <xf numFmtId="3" fontId="19" fillId="3" borderId="4" xfId="0" applyNumberFormat="1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2" fillId="14" borderId="7" xfId="0" applyNumberFormat="1" applyFont="1" applyFill="1" applyBorder="1" applyAlignment="1">
      <alignment horizontal="center"/>
    </xf>
    <xf numFmtId="0" fontId="2" fillId="14" borderId="29" xfId="0" applyNumberFormat="1" applyFont="1" applyFill="1" applyBorder="1" applyAlignment="1">
      <alignment horizontal="center"/>
    </xf>
    <xf numFmtId="0" fontId="2" fillId="14" borderId="10" xfId="0" applyNumberFormat="1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vertical="center"/>
    </xf>
    <xf numFmtId="43" fontId="1" fillId="3" borderId="11" xfId="1" applyFont="1" applyFill="1" applyBorder="1" applyAlignment="1">
      <alignment horizontal="center" vertical="center"/>
    </xf>
    <xf numFmtId="17" fontId="11" fillId="0" borderId="25" xfId="0" applyNumberFormat="1" applyFont="1" applyBorder="1" applyAlignment="1" applyProtection="1">
      <alignment horizontal="center"/>
    </xf>
    <xf numFmtId="17" fontId="11" fillId="0" borderId="27" xfId="0" applyNumberFormat="1" applyFont="1" applyBorder="1" applyAlignment="1" applyProtection="1">
      <alignment horizontal="center"/>
    </xf>
    <xf numFmtId="177" fontId="58" fillId="18" borderId="34" xfId="4" applyNumberFormat="1" applyFont="1" applyFill="1" applyBorder="1" applyAlignment="1">
      <alignment horizontal="center" vertical="center"/>
    </xf>
    <xf numFmtId="17" fontId="8" fillId="0" borderId="35" xfId="13" applyNumberFormat="1" applyFont="1" applyBorder="1" applyAlignment="1">
      <alignment horizontal="center" vertical="center" wrapText="1"/>
    </xf>
    <xf numFmtId="17" fontId="8" fillId="0" borderId="36" xfId="13" applyNumberFormat="1" applyFont="1" applyBorder="1" applyAlignment="1">
      <alignment horizontal="center" vertical="center" wrapText="1"/>
    </xf>
    <xf numFmtId="17" fontId="8" fillId="0" borderId="37" xfId="13" applyNumberFormat="1" applyFont="1" applyBorder="1" applyAlignment="1">
      <alignment horizontal="center" vertical="center" wrapText="1"/>
    </xf>
    <xf numFmtId="17" fontId="8" fillId="0" borderId="38" xfId="13" applyNumberFormat="1" applyFont="1" applyBorder="1" applyAlignment="1">
      <alignment horizontal="center"/>
    </xf>
    <xf numFmtId="17" fontId="8" fillId="0" borderId="39" xfId="13" applyNumberFormat="1" applyFont="1" applyBorder="1" applyAlignment="1">
      <alignment horizontal="center"/>
    </xf>
    <xf numFmtId="0" fontId="10" fillId="2" borderId="1" xfId="4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vertical="center"/>
    </xf>
    <xf numFmtId="0" fontId="20" fillId="10" borderId="1" xfId="0" applyFont="1" applyFill="1" applyBorder="1" applyAlignment="1" applyProtection="1">
      <alignment horizontal="center" vertical="center"/>
    </xf>
    <xf numFmtId="0" fontId="19" fillId="8" borderId="1" xfId="0" applyFont="1" applyFill="1" applyBorder="1" applyAlignment="1" applyProtection="1">
      <alignment horizontal="left" vertical="center"/>
    </xf>
    <xf numFmtId="0" fontId="10" fillId="9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/>
    <xf numFmtId="0" fontId="20" fillId="0" borderId="1" xfId="0" applyFont="1" applyFill="1" applyBorder="1" applyAlignment="1" applyProtection="1">
      <alignment horizontal="center" vertical="center" wrapText="1"/>
    </xf>
    <xf numFmtId="3" fontId="11" fillId="5" borderId="5" xfId="2" applyNumberFormat="1" applyFont="1" applyFill="1" applyBorder="1" applyAlignment="1" applyProtection="1">
      <alignment horizontal="center"/>
    </xf>
    <xf numFmtId="3" fontId="11" fillId="5" borderId="4" xfId="2" applyNumberFormat="1" applyFont="1" applyFill="1" applyBorder="1" applyAlignment="1" applyProtection="1">
      <alignment horizontal="center"/>
    </xf>
    <xf numFmtId="3" fontId="9" fillId="0" borderId="5" xfId="2" applyNumberFormat="1" applyFont="1" applyFill="1" applyBorder="1" applyAlignment="1" applyProtection="1">
      <alignment horizontal="center"/>
    </xf>
    <xf numFmtId="3" fontId="9" fillId="0" borderId="4" xfId="2" applyNumberFormat="1" applyFont="1" applyFill="1" applyBorder="1" applyAlignment="1" applyProtection="1">
      <alignment horizontal="center"/>
    </xf>
    <xf numFmtId="3" fontId="16" fillId="2" borderId="5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69" fontId="30" fillId="5" borderId="6" xfId="1" applyNumberFormat="1" applyFont="1" applyFill="1" applyBorder="1" applyAlignment="1">
      <alignment horizontal="center" vertical="center"/>
    </xf>
    <xf numFmtId="169" fontId="30" fillId="5" borderId="9" xfId="1" applyNumberFormat="1" applyFont="1" applyFill="1" applyBorder="1" applyAlignment="1">
      <alignment horizontal="center" vertical="center"/>
    </xf>
    <xf numFmtId="169" fontId="30" fillId="5" borderId="8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6" fillId="2" borderId="3" xfId="0" applyFont="1" applyFill="1" applyBorder="1" applyAlignment="1"/>
    <xf numFmtId="0" fontId="16" fillId="2" borderId="5" xfId="0" applyFont="1" applyFill="1" applyBorder="1" applyAlignment="1" applyProtection="1">
      <alignment horizontal="right" vertical="center" wrapText="1"/>
    </xf>
    <xf numFmtId="0" fontId="16" fillId="2" borderId="21" xfId="0" applyFont="1" applyFill="1" applyBorder="1" applyAlignment="1" applyProtection="1">
      <alignment horizontal="right" vertical="center" wrapText="1"/>
    </xf>
    <xf numFmtId="0" fontId="16" fillId="2" borderId="4" xfId="0" applyFont="1" applyFill="1" applyBorder="1" applyAlignment="1" applyProtection="1">
      <alignment horizontal="right" vertical="center" wrapText="1"/>
    </xf>
    <xf numFmtId="0" fontId="16" fillId="2" borderId="2" xfId="4" applyFont="1" applyFill="1" applyBorder="1" applyAlignment="1">
      <alignment horizontal="center" vertical="center"/>
    </xf>
    <xf numFmtId="0" fontId="16" fillId="2" borderId="3" xfId="4" applyFont="1" applyFill="1" applyBorder="1" applyAlignment="1">
      <alignment horizontal="center" vertical="center"/>
    </xf>
    <xf numFmtId="0" fontId="26" fillId="2" borderId="3" xfId="4" applyFont="1" applyFill="1" applyBorder="1" applyAlignment="1">
      <alignment vertical="center"/>
    </xf>
  </cellXfs>
  <cellStyles count="15">
    <cellStyle name="Comma 2 2" xfId="11"/>
    <cellStyle name="Moeda" xfId="2" builtinId="4"/>
    <cellStyle name="Moeda 2" xfId="8"/>
    <cellStyle name="Moeda 3" xfId="12"/>
    <cellStyle name="Normal" xfId="0" builtinId="0"/>
    <cellStyle name="Normal - Style1 2 2" xfId="10"/>
    <cellStyle name="Normal 12" xfId="13"/>
    <cellStyle name="Normal 2" xfId="9"/>
    <cellStyle name="Normal 2 2" xfId="14"/>
    <cellStyle name="Normal 4" xfId="4"/>
    <cellStyle name="Normal 5" xfId="5"/>
    <cellStyle name="Porcentagem" xfId="3" builtinId="5"/>
    <cellStyle name="Porcentagem 2" xfId="7"/>
    <cellStyle name="Separador de milhares 3" xfId="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2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093117408906882E-2"/>
          <c:y val="0.1634890035297312"/>
          <c:w val="0.69307829153968725"/>
          <c:h val="0.74340107353954765"/>
        </c:manualLayout>
      </c:layout>
      <c:pie3DChart>
        <c:varyColors val="1"/>
        <c:ser>
          <c:idx val="0"/>
          <c:order val="0"/>
          <c:tx>
            <c:strRef>
              <c:f>Bonus_Total!$B$14</c:f>
              <c:strCache>
                <c:ptCount val="1"/>
                <c:pt idx="0">
                  <c:v>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extLst>
              <c:ext xmlns:c16="http://schemas.microsoft.com/office/drawing/2014/chart" uri="{C3380CC4-5D6E-409C-BE32-E72D297353CC}">
                <c16:uniqueId val="{00000000-5C3E-472B-9E0D-6D70873FE0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Bonus_Total!$C$9:$F$9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Bonus_Total!$C$14:$F$14</c:f>
              <c:numCache>
                <c:formatCode>_(* #,##0.00_);_(* \(#,##0.00\);_(* "-"??_);_(@_)</c:formatCode>
                <c:ptCount val="4"/>
                <c:pt idx="0">
                  <c:v>8389347.824000001</c:v>
                </c:pt>
                <c:pt idx="1">
                  <c:v>2636.9080000000004</c:v>
                </c:pt>
                <c:pt idx="2">
                  <c:v>2967286.872</c:v>
                </c:pt>
                <c:pt idx="3">
                  <c:v>210211.84800000003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E-472B-9E0D-6D70873FE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257274569558962"/>
          <c:y val="0.14583658806574906"/>
          <c:w val="0.22992234271305478"/>
          <c:h val="0.21754422606988449"/>
        </c:manualLayout>
      </c:layout>
      <c:overlay val="0"/>
      <c:txPr>
        <a:bodyPr/>
        <a:lstStyle/>
        <a:p>
          <a:pPr>
            <a:defRPr sz="12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2</xdr:col>
      <xdr:colOff>193675</xdr:colOff>
      <xdr:row>4</xdr:row>
      <xdr:rowOff>131233</xdr:rowOff>
    </xdr:to>
    <xdr:pic>
      <xdr:nvPicPr>
        <xdr:cNvPr id="6" name="Imagem 5" descr="Logo_ADASA_2009_Hor_Colo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0" y="635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10</xdr:col>
      <xdr:colOff>44450</xdr:colOff>
      <xdr:row>6</xdr:row>
      <xdr:rowOff>29633</xdr:rowOff>
    </xdr:to>
    <xdr:pic>
      <xdr:nvPicPr>
        <xdr:cNvPr id="7" name="Imagem 6" descr="Logo_ADASA_2009_Hor_Color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8000" y="159004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12700</xdr:rowOff>
    </xdr:from>
    <xdr:to>
      <xdr:col>10</xdr:col>
      <xdr:colOff>44450</xdr:colOff>
      <xdr:row>5</xdr:row>
      <xdr:rowOff>4233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8000" y="2032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44450</xdr:colOff>
      <xdr:row>4</xdr:row>
      <xdr:rowOff>194733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8000" y="5588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44450</xdr:colOff>
      <xdr:row>4</xdr:row>
      <xdr:rowOff>194733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8000" y="5588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1140278</xdr:colOff>
      <xdr:row>5</xdr:row>
      <xdr:rowOff>118533</xdr:rowOff>
    </xdr:to>
    <xdr:pic>
      <xdr:nvPicPr>
        <xdr:cNvPr id="6" name="Imagem 5" descr="Logo_ADASA_2009_Hor_Color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455612</xdr:colOff>
      <xdr:row>2</xdr:row>
      <xdr:rowOff>41275</xdr:rowOff>
    </xdr:from>
    <xdr:to>
      <xdr:col>18</xdr:col>
      <xdr:colOff>214312</xdr:colOff>
      <xdr:row>21</xdr:row>
      <xdr:rowOff>92075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577850</xdr:colOff>
      <xdr:row>5</xdr:row>
      <xdr:rowOff>80433</xdr:rowOff>
    </xdr:to>
    <xdr:pic>
      <xdr:nvPicPr>
        <xdr:cNvPr id="5" name="Imagem 4" descr="Logo_ADASA_2009_Hor_Color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6600" y="1905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2622550</xdr:colOff>
      <xdr:row>6</xdr:row>
      <xdr:rowOff>55033</xdr:rowOff>
    </xdr:to>
    <xdr:pic>
      <xdr:nvPicPr>
        <xdr:cNvPr id="5" name="Imagem 4" descr="Logo_ADASA_2009_Hor_Color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51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2622550</xdr:colOff>
      <xdr:row>5</xdr:row>
      <xdr:rowOff>118533</xdr:rowOff>
    </xdr:to>
    <xdr:pic>
      <xdr:nvPicPr>
        <xdr:cNvPr id="6" name="Imagem 5" descr="Logo_ADASA_2009_Hor_Color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200" y="1778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25400</xdr:rowOff>
    </xdr:from>
    <xdr:to>
      <xdr:col>1</xdr:col>
      <xdr:colOff>2622550</xdr:colOff>
      <xdr:row>3</xdr:row>
      <xdr:rowOff>309826</xdr:rowOff>
    </xdr:to>
    <xdr:pic>
      <xdr:nvPicPr>
        <xdr:cNvPr id="10" name="Imagem 9" descr="Logo_ADASA_2009_Hor_Color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0" y="254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692150</xdr:colOff>
      <xdr:row>5</xdr:row>
      <xdr:rowOff>118533</xdr:rowOff>
    </xdr:to>
    <xdr:pic>
      <xdr:nvPicPr>
        <xdr:cNvPr id="6" name="Imagem 5" descr="Logo_ADASA_2009_Hor_Color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0" y="177800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2</xdr:col>
      <xdr:colOff>990600</xdr:colOff>
      <xdr:row>4</xdr:row>
      <xdr:rowOff>109008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28600"/>
          <a:ext cx="2038350" cy="64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2038350</xdr:colOff>
      <xdr:row>4</xdr:row>
      <xdr:rowOff>70908</xdr:rowOff>
    </xdr:to>
    <xdr:pic>
      <xdr:nvPicPr>
        <xdr:cNvPr id="2" name="Imagem 1" descr="Logo_ADASA_2009_Hor_Color">
          <a:extLst>
            <a:ext uri="{FF2B5EF4-FFF2-40B4-BE49-F238E27FC236}">
              <a16:creationId xmlns:a16="http://schemas.microsoft.com/office/drawing/2014/main" id="{0DAED98C-E46F-4529-ACB0-164511D794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2038350" cy="64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95251</xdr:rowOff>
    </xdr:from>
    <xdr:to>
      <xdr:col>2</xdr:col>
      <xdr:colOff>482827</xdr:colOff>
      <xdr:row>4</xdr:row>
      <xdr:rowOff>145748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357" y="95251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2622550</xdr:colOff>
      <xdr:row>5</xdr:row>
      <xdr:rowOff>107950</xdr:rowOff>
    </xdr:to>
    <xdr:pic>
      <xdr:nvPicPr>
        <xdr:cNvPr id="4" name="Imagem 3" descr="Logo_ADASA_2009_Hor_Colo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0" y="179917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389467</xdr:colOff>
      <xdr:row>5</xdr:row>
      <xdr:rowOff>107950</xdr:rowOff>
    </xdr:to>
    <xdr:pic>
      <xdr:nvPicPr>
        <xdr:cNvPr id="7" name="Imagem 6" descr="Logo_ADASA_2009_Hor_Color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667" y="179917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3</xdr:col>
      <xdr:colOff>389467</xdr:colOff>
      <xdr:row>18</xdr:row>
      <xdr:rowOff>107949</xdr:rowOff>
    </xdr:to>
    <xdr:pic>
      <xdr:nvPicPr>
        <xdr:cNvPr id="9" name="Imagem 8" descr="Logo_ADASA_2009_Hor_Color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667" y="2645833"/>
          <a:ext cx="2622550" cy="880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>
        <row r="9">
          <cell r="D9">
            <v>0.12106060606060608</v>
          </cell>
        </row>
        <row r="12">
          <cell r="D12">
            <v>2.1985163471443414E-2</v>
          </cell>
        </row>
        <row r="13">
          <cell r="D13">
            <v>-1.1395249954443298E-2</v>
          </cell>
        </row>
        <row r="15">
          <cell r="D15">
            <v>-4.1405391204552E-2</v>
          </cell>
        </row>
        <row r="16">
          <cell r="D16">
            <v>-6.7652311243394214E-2</v>
          </cell>
        </row>
      </sheetData>
      <sheetData sheetId="1">
        <row r="9">
          <cell r="D9">
            <v>0.28999999999999998</v>
          </cell>
        </row>
        <row r="10">
          <cell r="D10">
            <v>0.08</v>
          </cell>
        </row>
        <row r="11">
          <cell r="D11">
            <v>415</v>
          </cell>
        </row>
        <row r="12">
          <cell r="D12">
            <v>8.3333333333333329E-2</v>
          </cell>
        </row>
        <row r="13">
          <cell r="D13">
            <v>2.7777777777777776E-2</v>
          </cell>
        </row>
        <row r="15">
          <cell r="D15">
            <v>0.1</v>
          </cell>
        </row>
        <row r="16">
          <cell r="D16">
            <v>0.2</v>
          </cell>
        </row>
        <row r="17">
          <cell r="D17">
            <v>0.4</v>
          </cell>
        </row>
        <row r="18">
          <cell r="D18">
            <v>1.4999999999999999E-2</v>
          </cell>
        </row>
        <row r="19">
          <cell r="D19">
            <v>0</v>
          </cell>
        </row>
        <row r="20">
          <cell r="D20">
            <v>0.2</v>
          </cell>
        </row>
        <row r="21">
          <cell r="D21">
            <v>0</v>
          </cell>
        </row>
        <row r="22">
          <cell r="D22">
            <v>7.5</v>
          </cell>
        </row>
        <row r="23">
          <cell r="D23">
            <v>6</v>
          </cell>
        </row>
        <row r="24">
          <cell r="D24">
            <v>5</v>
          </cell>
        </row>
        <row r="25">
          <cell r="D25">
            <v>20</v>
          </cell>
        </row>
        <row r="26">
          <cell r="D26">
            <v>46</v>
          </cell>
        </row>
        <row r="27">
          <cell r="D27">
            <v>50</v>
          </cell>
        </row>
        <row r="28">
          <cell r="D28">
            <v>12</v>
          </cell>
        </row>
      </sheetData>
      <sheetData sheetId="2">
        <row r="9">
          <cell r="C9" t="str">
            <v>PRESIDENTE</v>
          </cell>
          <cell r="E9">
            <v>22456.841666666671</v>
          </cell>
          <cell r="F9">
            <v>22950.559001760659</v>
          </cell>
          <cell r="G9">
            <v>275406.70802112791</v>
          </cell>
          <cell r="L9">
            <v>22950.559001760659</v>
          </cell>
          <cell r="M9">
            <v>7650.1863339202191</v>
          </cell>
          <cell r="N9">
            <v>88742.161473474553</v>
          </cell>
          <cell r="O9">
            <v>24480.596268544705</v>
          </cell>
          <cell r="P9">
            <v>4131.1006203169181</v>
          </cell>
          <cell r="Q9">
            <v>55081.341604225585</v>
          </cell>
          <cell r="R9">
            <v>0</v>
          </cell>
          <cell r="S9">
            <v>203035.94530224265</v>
          </cell>
          <cell r="T9">
            <v>478442.65332337056</v>
          </cell>
          <cell r="U9">
            <v>39870.22111028088</v>
          </cell>
          <cell r="V9">
            <v>277.3580598976061</v>
          </cell>
        </row>
        <row r="10">
          <cell r="C10" t="str">
            <v>DIRETOR</v>
          </cell>
          <cell r="E10">
            <v>20204.134999999998</v>
          </cell>
          <cell r="F10">
            <v>20648.32621077411</v>
          </cell>
          <cell r="G10">
            <v>247779.91452928932</v>
          </cell>
          <cell r="L10">
            <v>20648.32621077411</v>
          </cell>
          <cell r="M10">
            <v>6882.7754035913695</v>
          </cell>
          <cell r="N10">
            <v>79840.194681659894</v>
          </cell>
          <cell r="O10">
            <v>22024.881291492387</v>
          </cell>
          <cell r="P10">
            <v>3716.6987179393395</v>
          </cell>
          <cell r="Q10">
            <v>49555.982905857869</v>
          </cell>
          <cell r="R10">
            <v>0</v>
          </cell>
          <cell r="S10">
            <v>182668.85921131496</v>
          </cell>
          <cell r="T10">
            <v>430448.77374060429</v>
          </cell>
          <cell r="U10">
            <v>35870.731145050355</v>
          </cell>
          <cell r="V10">
            <v>249.53552100904597</v>
          </cell>
        </row>
        <row r="11">
          <cell r="C11" t="str">
            <v>AN.SUPORTE A-V</v>
          </cell>
          <cell r="E11">
            <v>14056.206458333332</v>
          </cell>
          <cell r="F11">
            <v>14365.23445510815</v>
          </cell>
          <cell r="G11">
            <v>172382.8134612978</v>
          </cell>
          <cell r="L11">
            <v>14365.23445510815</v>
          </cell>
          <cell r="M11">
            <v>4788.4114850360502</v>
          </cell>
          <cell r="N11">
            <v>55545.573226418179</v>
          </cell>
          <cell r="O11">
            <v>15322.916752115359</v>
          </cell>
          <cell r="P11">
            <v>2585.7422019194669</v>
          </cell>
          <cell r="Q11">
            <v>34476.562692259562</v>
          </cell>
          <cell r="R11">
            <v>0</v>
          </cell>
          <cell r="S11">
            <v>127084.44081285677</v>
          </cell>
          <cell r="T11">
            <v>299467.25427415455</v>
          </cell>
          <cell r="U11">
            <v>24955.604522846214</v>
          </cell>
          <cell r="V11">
            <v>173.60420537632149</v>
          </cell>
        </row>
        <row r="12">
          <cell r="C12" t="str">
            <v>ANAL.OPERAC. IV</v>
          </cell>
          <cell r="E12">
            <v>12310.005869565217</v>
          </cell>
          <cell r="F12">
            <v>12580.643360942036</v>
          </cell>
          <cell r="G12">
            <v>150967.72033130444</v>
          </cell>
          <cell r="L12">
            <v>12580.643360942036</v>
          </cell>
          <cell r="M12">
            <v>4193.5477869806791</v>
          </cell>
          <cell r="N12">
            <v>48645.154328975877</v>
          </cell>
          <cell r="O12">
            <v>13419.352918338176</v>
          </cell>
          <cell r="P12">
            <v>2264.5158049695665</v>
          </cell>
          <cell r="Q12">
            <v>30193.544066260889</v>
          </cell>
          <cell r="R12">
            <v>0</v>
          </cell>
          <cell r="S12">
            <v>111296.75826646722</v>
          </cell>
          <cell r="T12">
            <v>262264.47859777167</v>
          </cell>
          <cell r="U12">
            <v>21855.373216480973</v>
          </cell>
          <cell r="V12">
            <v>152.03737889725895</v>
          </cell>
        </row>
        <row r="13">
          <cell r="C13" t="str">
            <v>AN.SUPORTE A-IV</v>
          </cell>
          <cell r="E13">
            <v>11291.15836666667</v>
          </cell>
          <cell r="F13">
            <v>11539.396329139792</v>
          </cell>
          <cell r="G13">
            <v>138472.75594967749</v>
          </cell>
          <cell r="L13">
            <v>11539.39632913979</v>
          </cell>
          <cell r="M13">
            <v>3846.4654430465966</v>
          </cell>
          <cell r="N13">
            <v>44618.999139340522</v>
          </cell>
          <cell r="O13">
            <v>12308.68941774911</v>
          </cell>
          <cell r="P13">
            <v>2077.0913392451621</v>
          </cell>
          <cell r="Q13">
            <v>27694.551189935501</v>
          </cell>
          <cell r="R13">
            <v>0</v>
          </cell>
          <cell r="S13">
            <v>102085.19285845668</v>
          </cell>
          <cell r="T13">
            <v>240557.94880813418</v>
          </cell>
          <cell r="U13">
            <v>20046.495734011183</v>
          </cell>
          <cell r="V13">
            <v>139.45388336703431</v>
          </cell>
        </row>
        <row r="14">
          <cell r="C14" t="str">
            <v>AN.SUPORTE A-III</v>
          </cell>
          <cell r="E14">
            <v>10932.878888888888</v>
          </cell>
          <cell r="F14">
            <v>11173.240018474604</v>
          </cell>
          <cell r="G14">
            <v>134078.88022169523</v>
          </cell>
          <cell r="L14">
            <v>11173.240018474602</v>
          </cell>
          <cell r="M14">
            <v>3724.4133394915339</v>
          </cell>
          <cell r="N14">
            <v>43203.194738101796</v>
          </cell>
          <cell r="O14">
            <v>11918.12268637291</v>
          </cell>
          <cell r="P14">
            <v>2011.1832033254284</v>
          </cell>
          <cell r="Q14">
            <v>26815.776044339047</v>
          </cell>
          <cell r="R14">
            <v>0</v>
          </cell>
          <cell r="S14">
            <v>98845.930030105315</v>
          </cell>
          <cell r="T14">
            <v>232924.81025180055</v>
          </cell>
          <cell r="U14">
            <v>19410.400854316711</v>
          </cell>
          <cell r="V14">
            <v>135.02887550829018</v>
          </cell>
        </row>
        <row r="15">
          <cell r="C15" t="str">
            <v>ANAL.OPERAC. III</v>
          </cell>
          <cell r="E15">
            <v>9956.3983854166672</v>
          </cell>
          <cell r="F15">
            <v>10175.291431506868</v>
          </cell>
          <cell r="G15">
            <v>122103.49717808241</v>
          </cell>
          <cell r="I15">
            <v>498</v>
          </cell>
          <cell r="L15">
            <v>10216.791431506867</v>
          </cell>
          <cell r="M15">
            <v>3405.5971438356223</v>
          </cell>
          <cell r="N15">
            <v>39504.926868493218</v>
          </cell>
          <cell r="O15">
            <v>10897.910860273993</v>
          </cell>
          <cell r="P15">
            <v>1831.5524576712362</v>
          </cell>
          <cell r="Q15">
            <v>24420.699435616483</v>
          </cell>
          <cell r="R15">
            <v>0</v>
          </cell>
          <cell r="S15">
            <v>90775.478197397417</v>
          </cell>
          <cell r="T15">
            <v>212878.97537547984</v>
          </cell>
          <cell r="U15">
            <v>17739.914614623322</v>
          </cell>
          <cell r="V15">
            <v>123.40810166694483</v>
          </cell>
        </row>
        <row r="16">
          <cell r="C16" t="str">
            <v>AN.SUPORTE B-III</v>
          </cell>
          <cell r="E16">
            <v>8422.9791666666661</v>
          </cell>
          <cell r="F16">
            <v>8608.1597405623943</v>
          </cell>
          <cell r="G16">
            <v>103297.91688674873</v>
          </cell>
          <cell r="L16">
            <v>8608.1597405623943</v>
          </cell>
          <cell r="M16">
            <v>2869.3865801874645</v>
          </cell>
          <cell r="N16">
            <v>33284.884330174587</v>
          </cell>
          <cell r="O16">
            <v>9182.0370565998874</v>
          </cell>
          <cell r="P16">
            <v>1549.4687533012309</v>
          </cell>
          <cell r="Q16">
            <v>20659.583377349747</v>
          </cell>
          <cell r="R16">
            <v>0</v>
          </cell>
          <cell r="S16">
            <v>76153.519838175314</v>
          </cell>
          <cell r="T16">
            <v>179451.43672492405</v>
          </cell>
          <cell r="U16">
            <v>14954.28639374367</v>
          </cell>
          <cell r="V16">
            <v>104.02981839126032</v>
          </cell>
        </row>
        <row r="17">
          <cell r="C17" t="str">
            <v>ANAL.OPERAC. II</v>
          </cell>
          <cell r="E17">
            <v>7928.1062847222238</v>
          </cell>
          <cell r="F17">
            <v>8102.4069974108197</v>
          </cell>
          <cell r="G17">
            <v>97228.883968929833</v>
          </cell>
          <cell r="I17">
            <v>498</v>
          </cell>
          <cell r="L17">
            <v>8143.9069974108188</v>
          </cell>
          <cell r="M17">
            <v>2714.6356658036061</v>
          </cell>
          <cell r="N17">
            <v>31489.773723321832</v>
          </cell>
          <cell r="O17">
            <v>8686.8341305715403</v>
          </cell>
          <cell r="P17">
            <v>1458.4332595339474</v>
          </cell>
          <cell r="Q17">
            <v>19445.776793785968</v>
          </cell>
          <cell r="R17">
            <v>0</v>
          </cell>
          <cell r="S17">
            <v>72437.360570427729</v>
          </cell>
          <cell r="T17">
            <v>169666.24453935755</v>
          </cell>
          <cell r="U17">
            <v>14138.853711613128</v>
          </cell>
          <cell r="V17">
            <v>98.357243211221771</v>
          </cell>
        </row>
        <row r="18">
          <cell r="C18" t="str">
            <v>AN.SUPORTE A-II</v>
          </cell>
          <cell r="E18">
            <v>6613.185625000001</v>
          </cell>
          <cell r="F18">
            <v>6758.5775920326259</v>
          </cell>
          <cell r="G18">
            <v>81102.931104391508</v>
          </cell>
          <cell r="L18">
            <v>6758.577592032625</v>
          </cell>
          <cell r="M18">
            <v>2252.8591973442085</v>
          </cell>
          <cell r="N18">
            <v>26133.166689192818</v>
          </cell>
          <cell r="O18">
            <v>7209.1494315014679</v>
          </cell>
          <cell r="P18">
            <v>1216.5439665658726</v>
          </cell>
          <cell r="Q18">
            <v>16220.586220878302</v>
          </cell>
          <cell r="R18">
            <v>0</v>
          </cell>
          <cell r="S18">
            <v>59790.883097515296</v>
          </cell>
          <cell r="T18">
            <v>140893.81420190679</v>
          </cell>
          <cell r="U18">
            <v>11741.151183492233</v>
          </cell>
          <cell r="V18">
            <v>81.677573450380748</v>
          </cell>
        </row>
        <row r="19">
          <cell r="C19" t="str">
            <v>TEC.CONTAB. II</v>
          </cell>
          <cell r="E19">
            <v>6534.2722916666671</v>
          </cell>
          <cell r="F19">
            <v>6677.929336165882</v>
          </cell>
          <cell r="G19">
            <v>80135.152033990584</v>
          </cell>
          <cell r="L19">
            <v>6677.929336165882</v>
          </cell>
          <cell r="M19">
            <v>2225.9764453886273</v>
          </cell>
          <cell r="N19">
            <v>25821.326766508075</v>
          </cell>
          <cell r="O19">
            <v>7123.1246252436076</v>
          </cell>
          <cell r="P19">
            <v>1202.0272805098587</v>
          </cell>
          <cell r="Q19">
            <v>16027.030406798118</v>
          </cell>
          <cell r="R19">
            <v>0</v>
          </cell>
          <cell r="S19">
            <v>59077.414860614175</v>
          </cell>
          <cell r="T19">
            <v>139212.56689460477</v>
          </cell>
          <cell r="U19">
            <v>11601.047241217064</v>
          </cell>
          <cell r="V19">
            <v>80.702937330205657</v>
          </cell>
        </row>
        <row r="20">
          <cell r="C20" t="str">
            <v>TEC.OPERAC. IV</v>
          </cell>
          <cell r="E20">
            <v>6300.295196078433</v>
          </cell>
          <cell r="F20">
            <v>6438.8082158825673</v>
          </cell>
          <cell r="G20">
            <v>77265.698590590808</v>
          </cell>
          <cell r="L20">
            <v>6438.8082158825673</v>
          </cell>
          <cell r="M20">
            <v>2146.2694052941888</v>
          </cell>
          <cell r="N20">
            <v>24896.725101412594</v>
          </cell>
          <cell r="O20">
            <v>6868.0620969414058</v>
          </cell>
          <cell r="P20">
            <v>1158.9854788588621</v>
          </cell>
          <cell r="Q20">
            <v>15453.139718118162</v>
          </cell>
          <cell r="R20">
            <v>0</v>
          </cell>
          <cell r="S20">
            <v>56961.990016507778</v>
          </cell>
          <cell r="T20">
            <v>134227.68860709859</v>
          </cell>
          <cell r="U20">
            <v>11185.640717258217</v>
          </cell>
          <cell r="V20">
            <v>77.81315281570933</v>
          </cell>
        </row>
        <row r="21">
          <cell r="C21" t="str">
            <v>TEC.CONTAB. III</v>
          </cell>
          <cell r="E21">
            <v>6095.7141666666676</v>
          </cell>
          <cell r="F21">
            <v>6229.7294390960278</v>
          </cell>
          <cell r="G21">
            <v>74756.753269152337</v>
          </cell>
          <cell r="L21">
            <v>6229.7294390960278</v>
          </cell>
          <cell r="M21">
            <v>2076.5764796986759</v>
          </cell>
          <cell r="N21">
            <v>24088.28716450464</v>
          </cell>
          <cell r="O21">
            <v>6645.0447350357636</v>
          </cell>
          <cell r="P21">
            <v>1121.3512990372851</v>
          </cell>
          <cell r="Q21">
            <v>14951.350653830468</v>
          </cell>
          <cell r="R21">
            <v>0</v>
          </cell>
          <cell r="S21">
            <v>55112.339771202853</v>
          </cell>
          <cell r="T21">
            <v>129869.09304035519</v>
          </cell>
          <cell r="U21">
            <v>10822.4244200296</v>
          </cell>
          <cell r="V21">
            <v>75.286430748031989</v>
          </cell>
        </row>
        <row r="22">
          <cell r="C22" t="str">
            <v>TEC.SEG.TRAB.III</v>
          </cell>
          <cell r="E22">
            <v>5847.2177083333336</v>
          </cell>
          <cell r="F22">
            <v>5975.7697455041607</v>
          </cell>
          <cell r="G22">
            <v>71709.236946049932</v>
          </cell>
          <cell r="L22">
            <v>5975.7697455041607</v>
          </cell>
          <cell r="M22">
            <v>1991.923248501387</v>
          </cell>
          <cell r="N22">
            <v>23106.309682616091</v>
          </cell>
          <cell r="O22">
            <v>6374.1543952044394</v>
          </cell>
          <cell r="P22">
            <v>1075.6385541907489</v>
          </cell>
          <cell r="Q22">
            <v>14341.847389209986</v>
          </cell>
          <cell r="R22">
            <v>0</v>
          </cell>
          <cell r="S22">
            <v>52865.643015226815</v>
          </cell>
          <cell r="T22">
            <v>124574.87996127675</v>
          </cell>
          <cell r="U22">
            <v>10381.239996773062</v>
          </cell>
          <cell r="V22">
            <v>72.217321716682179</v>
          </cell>
        </row>
        <row r="23">
          <cell r="C23" t="str">
            <v>TEC.SECRET. III</v>
          </cell>
          <cell r="E23">
            <v>5695.6366666666663</v>
          </cell>
          <cell r="F23">
            <v>5820.8561698572803</v>
          </cell>
          <cell r="G23">
            <v>69850.27403828736</v>
          </cell>
          <cell r="L23">
            <v>5820.8561698572794</v>
          </cell>
          <cell r="M23">
            <v>1940.2853899524266</v>
          </cell>
          <cell r="N23">
            <v>22507.310523448145</v>
          </cell>
          <cell r="O23">
            <v>6208.9132478477641</v>
          </cell>
          <cell r="P23">
            <v>1047.7541105743103</v>
          </cell>
          <cell r="Q23">
            <v>13970.054807657472</v>
          </cell>
          <cell r="R23">
            <v>0</v>
          </cell>
          <cell r="S23">
            <v>51495.174249337389</v>
          </cell>
          <cell r="T23">
            <v>121345.44828762475</v>
          </cell>
          <cell r="U23">
            <v>10112.120690635396</v>
          </cell>
          <cell r="V23">
            <v>70.345187413115795</v>
          </cell>
        </row>
        <row r="24">
          <cell r="C24" t="str">
            <v>ASSESSOR</v>
          </cell>
          <cell r="E24">
            <v>5286.5783914728681</v>
          </cell>
          <cell r="F24">
            <v>5402.8046816139995</v>
          </cell>
          <cell r="G24">
            <v>64833.656179367994</v>
          </cell>
          <cell r="L24">
            <v>5402.8046816139995</v>
          </cell>
          <cell r="M24">
            <v>1800.9348938713331</v>
          </cell>
          <cell r="N24">
            <v>20890.844768907467</v>
          </cell>
          <cell r="O24">
            <v>5762.9916603882666</v>
          </cell>
          <cell r="P24">
            <v>972.50484269051992</v>
          </cell>
          <cell r="Q24">
            <v>12966.7312358736</v>
          </cell>
          <cell r="R24">
            <v>0</v>
          </cell>
          <cell r="S24">
            <v>47796.812083345183</v>
          </cell>
          <cell r="T24">
            <v>112630.46826271317</v>
          </cell>
          <cell r="U24">
            <v>9385.8723552260981</v>
          </cell>
          <cell r="V24">
            <v>65.293025079833725</v>
          </cell>
        </row>
        <row r="25">
          <cell r="C25" t="str">
            <v>TEC.OPERAC. VI</v>
          </cell>
          <cell r="E25">
            <v>5244.7441666666664</v>
          </cell>
          <cell r="F25">
            <v>5360.0507245367326</v>
          </cell>
          <cell r="G25">
            <v>64320.608694440787</v>
          </cell>
          <cell r="L25">
            <v>5360.0507245367317</v>
          </cell>
          <cell r="M25">
            <v>1786.6835748455774</v>
          </cell>
          <cell r="N25">
            <v>20725.529468208697</v>
          </cell>
          <cell r="O25">
            <v>5717.3874395058483</v>
          </cell>
          <cell r="P25">
            <v>964.80913041661177</v>
          </cell>
          <cell r="Q25">
            <v>12864.121738888158</v>
          </cell>
          <cell r="R25">
            <v>0</v>
          </cell>
          <cell r="S25">
            <v>47418.582076401624</v>
          </cell>
          <cell r="T25">
            <v>111739.19077084241</v>
          </cell>
          <cell r="U25">
            <v>9311.5992309035337</v>
          </cell>
          <cell r="V25">
            <v>64.776342475850669</v>
          </cell>
        </row>
        <row r="26">
          <cell r="C26" t="str">
            <v>TEC.OPERAC. III</v>
          </cell>
          <cell r="E26">
            <v>5176.5381147540984</v>
          </cell>
          <cell r="F26">
            <v>5290.3451514231247</v>
          </cell>
          <cell r="G26">
            <v>63484.1418170775</v>
          </cell>
          <cell r="L26">
            <v>5290.3451514231247</v>
          </cell>
          <cell r="M26">
            <v>1763.4483838077083</v>
          </cell>
          <cell r="N26">
            <v>20456.001252169419</v>
          </cell>
          <cell r="O26">
            <v>5643.0348281846673</v>
          </cell>
          <cell r="P26">
            <v>952.26212725616244</v>
          </cell>
          <cell r="Q26">
            <v>12696.828363415501</v>
          </cell>
          <cell r="R26">
            <v>0</v>
          </cell>
          <cell r="S26">
            <v>46801.920106256584</v>
          </cell>
          <cell r="T26">
            <v>110286.06192333408</v>
          </cell>
          <cell r="U26">
            <v>9190.5051602778403</v>
          </cell>
          <cell r="V26">
            <v>63.933948941063235</v>
          </cell>
        </row>
        <row r="27">
          <cell r="C27" t="str">
            <v>AG.SUPORTE B-III</v>
          </cell>
          <cell r="E27">
            <v>5127.2628665123457</v>
          </cell>
          <cell r="F27">
            <v>5239.9865787936815</v>
          </cell>
          <cell r="G27">
            <v>62879.838945524178</v>
          </cell>
          <cell r="L27">
            <v>5239.9865787936815</v>
          </cell>
          <cell r="M27">
            <v>1746.6621929312271</v>
          </cell>
          <cell r="N27">
            <v>20261.281438002232</v>
          </cell>
          <cell r="O27">
            <v>5589.3190173799267</v>
          </cell>
          <cell r="P27">
            <v>943.19758418286267</v>
          </cell>
          <cell r="Q27">
            <v>12575.967789104836</v>
          </cell>
          <cell r="R27">
            <v>0</v>
          </cell>
          <cell r="S27">
            <v>46356.414600394761</v>
          </cell>
          <cell r="T27">
            <v>109236.25354591894</v>
          </cell>
          <cell r="U27">
            <v>9103.0211288265782</v>
          </cell>
          <cell r="V27">
            <v>63.325364374445762</v>
          </cell>
        </row>
        <row r="28">
          <cell r="C28" t="str">
            <v>TEC.INFORMAT.II</v>
          </cell>
          <cell r="E28">
            <v>4929.7445370370378</v>
          </cell>
          <cell r="F28">
            <v>5038.1257765562523</v>
          </cell>
          <cell r="G28">
            <v>60457.509318675031</v>
          </cell>
          <cell r="L28">
            <v>5038.1257765562523</v>
          </cell>
          <cell r="M28">
            <v>1679.375258852084</v>
          </cell>
          <cell r="N28">
            <v>19480.753002684174</v>
          </cell>
          <cell r="O28">
            <v>5374.0008283266698</v>
          </cell>
          <cell r="P28">
            <v>906.86263978012539</v>
          </cell>
          <cell r="Q28">
            <v>12091.501863735008</v>
          </cell>
          <cell r="R28">
            <v>0</v>
          </cell>
          <cell r="S28">
            <v>44570.619369934313</v>
          </cell>
          <cell r="T28">
            <v>105028.12868860934</v>
          </cell>
          <cell r="U28">
            <v>8752.3440573841126</v>
          </cell>
          <cell r="V28">
            <v>60.885871703541646</v>
          </cell>
        </row>
        <row r="29">
          <cell r="C29" t="str">
            <v>AG.OPERAC. A-VI</v>
          </cell>
          <cell r="E29">
            <v>4918.8289639639643</v>
          </cell>
          <cell r="F29">
            <v>5026.9702228247825</v>
          </cell>
          <cell r="G29">
            <v>60323.64267389739</v>
          </cell>
          <cell r="I29">
            <v>498</v>
          </cell>
          <cell r="L29">
            <v>5068.4702228247825</v>
          </cell>
          <cell r="M29">
            <v>1689.4900742749273</v>
          </cell>
          <cell r="N29">
            <v>19598.084861589159</v>
          </cell>
          <cell r="O29">
            <v>5406.3682376797688</v>
          </cell>
          <cell r="P29">
            <v>904.85464010846079</v>
          </cell>
          <cell r="Q29">
            <v>12064.728534779479</v>
          </cell>
          <cell r="R29">
            <v>0</v>
          </cell>
          <cell r="S29">
            <v>45229.996571256575</v>
          </cell>
          <cell r="T29">
            <v>105553.63924515396</v>
          </cell>
          <cell r="U29">
            <v>8796.1366037628304</v>
          </cell>
          <cell r="V29">
            <v>61.19051550443708</v>
          </cell>
        </row>
        <row r="30">
          <cell r="C30" t="str">
            <v>TEC.INFORMAT.III</v>
          </cell>
          <cell r="E30">
            <v>4898.1683333333331</v>
          </cell>
          <cell r="F30">
            <v>5005.8553648523139</v>
          </cell>
          <cell r="G30">
            <v>60070.264378227766</v>
          </cell>
          <cell r="L30">
            <v>5005.8553648523139</v>
          </cell>
          <cell r="M30">
            <v>1668.6184549507711</v>
          </cell>
          <cell r="N30">
            <v>19355.974077428946</v>
          </cell>
          <cell r="O30">
            <v>5339.5790558424687</v>
          </cell>
          <cell r="P30">
            <v>901.05396567341643</v>
          </cell>
          <cell r="Q30">
            <v>12014.052875645553</v>
          </cell>
          <cell r="R30">
            <v>0</v>
          </cell>
          <cell r="S30">
            <v>44285.13379439347</v>
          </cell>
          <cell r="T30">
            <v>104355.39817262124</v>
          </cell>
          <cell r="U30">
            <v>8696.2831810517691</v>
          </cell>
          <cell r="V30">
            <v>60.495882998621006</v>
          </cell>
        </row>
        <row r="31">
          <cell r="C31" t="str">
            <v>AN.SUPORTE A-I</v>
          </cell>
          <cell r="E31">
            <v>4876.5501255707759</v>
          </cell>
          <cell r="F31">
            <v>4983.7618772581372</v>
          </cell>
          <cell r="G31">
            <v>59805.142527097647</v>
          </cell>
          <cell r="L31">
            <v>4983.7618772581372</v>
          </cell>
          <cell r="M31">
            <v>1661.2539590860456</v>
          </cell>
          <cell r="N31">
            <v>19270.545925398128</v>
          </cell>
          <cell r="O31">
            <v>5316.0126690753459</v>
          </cell>
          <cell r="P31">
            <v>897.07713790646471</v>
          </cell>
          <cell r="Q31">
            <v>11961.02850541953</v>
          </cell>
          <cell r="R31">
            <v>0</v>
          </cell>
          <cell r="S31">
            <v>44089.680074143653</v>
          </cell>
          <cell r="T31">
            <v>103894.82260124129</v>
          </cell>
          <cell r="U31">
            <v>8657.9018834367744</v>
          </cell>
          <cell r="V31">
            <v>60.228882667386259</v>
          </cell>
        </row>
        <row r="32">
          <cell r="C32" t="str">
            <v>AG.OPERAC. B-III</v>
          </cell>
          <cell r="E32">
            <v>4575.4659761904768</v>
          </cell>
          <cell r="F32">
            <v>4676.0583436350516</v>
          </cell>
          <cell r="G32">
            <v>56112.70012362062</v>
          </cell>
          <cell r="L32">
            <v>4676.0583436350516</v>
          </cell>
          <cell r="M32">
            <v>1558.6861145450171</v>
          </cell>
          <cell r="N32">
            <v>18080.758928722196</v>
          </cell>
          <cell r="O32">
            <v>4987.795566544055</v>
          </cell>
          <cell r="P32">
            <v>841.69050185430922</v>
          </cell>
          <cell r="Q32">
            <v>11222.540024724125</v>
          </cell>
          <cell r="R32">
            <v>0</v>
          </cell>
          <cell r="S32">
            <v>41367.52948002475</v>
          </cell>
          <cell r="T32">
            <v>97480.229603645363</v>
          </cell>
          <cell r="U32">
            <v>8123.3524669704466</v>
          </cell>
          <cell r="V32">
            <v>56.510278031098764</v>
          </cell>
        </row>
        <row r="33">
          <cell r="C33" t="str">
            <v>ANAL.OPERAC. I</v>
          </cell>
          <cell r="E33">
            <v>4552.3954074074063</v>
          </cell>
          <cell r="F33">
            <v>4652.4805646259065</v>
          </cell>
          <cell r="G33">
            <v>55829.766775510878</v>
          </cell>
          <cell r="I33">
            <v>498</v>
          </cell>
          <cell r="L33">
            <v>4693.9805646259065</v>
          </cell>
          <cell r="M33">
            <v>1564.6601882086354</v>
          </cell>
          <cell r="N33">
            <v>18150.058183220168</v>
          </cell>
          <cell r="O33">
            <v>5006.9126022676337</v>
          </cell>
          <cell r="P33">
            <v>837.44650163266317</v>
          </cell>
          <cell r="Q33">
            <v>11165.953355102176</v>
          </cell>
          <cell r="R33">
            <v>0</v>
          </cell>
          <cell r="S33">
            <v>41917.011395057183</v>
          </cell>
          <cell r="T33">
            <v>97746.778170568054</v>
          </cell>
          <cell r="U33">
            <v>8145.5648475473381</v>
          </cell>
          <cell r="V33">
            <v>56.664798939459743</v>
          </cell>
        </row>
        <row r="34">
          <cell r="C34" t="str">
            <v>CONS. FISCAL</v>
          </cell>
          <cell r="E34">
            <v>4413.76</v>
          </cell>
          <cell r="F34">
            <v>4510.7972351237186</v>
          </cell>
          <cell r="G34">
            <v>54129.566821484623</v>
          </cell>
          <cell r="L34">
            <v>4510.7972351237186</v>
          </cell>
          <cell r="M34">
            <v>1503.5990783745729</v>
          </cell>
          <cell r="N34">
            <v>17441.749309145045</v>
          </cell>
          <cell r="O34">
            <v>4811.5170507986331</v>
          </cell>
          <cell r="P34">
            <v>811.9435023222693</v>
          </cell>
          <cell r="Q34">
            <v>10825.913364296925</v>
          </cell>
          <cell r="R34">
            <v>0</v>
          </cell>
          <cell r="S34">
            <v>39905.519540061163</v>
          </cell>
          <cell r="T34">
            <v>94035.086361545778</v>
          </cell>
          <cell r="U34">
            <v>7836.2571967954818</v>
          </cell>
          <cell r="V34">
            <v>54.513093542925091</v>
          </cell>
        </row>
        <row r="35">
          <cell r="C35" t="str">
            <v>AG.SUPORTE A-III</v>
          </cell>
          <cell r="E35">
            <v>4317.2598148148154</v>
          </cell>
          <cell r="F35">
            <v>4412.1754775922127</v>
          </cell>
          <cell r="G35">
            <v>52946.105731106552</v>
          </cell>
          <cell r="L35">
            <v>4412.1754775922127</v>
          </cell>
          <cell r="M35">
            <v>1470.7251591974041</v>
          </cell>
          <cell r="N35">
            <v>17060.411846689891</v>
          </cell>
          <cell r="O35">
            <v>4706.3205094316936</v>
          </cell>
          <cell r="P35">
            <v>794.19158596659827</v>
          </cell>
          <cell r="Q35">
            <v>10589.221146221311</v>
          </cell>
          <cell r="R35">
            <v>0</v>
          </cell>
          <cell r="S35">
            <v>39033.045725099109</v>
          </cell>
          <cell r="T35">
            <v>91979.151456205669</v>
          </cell>
          <cell r="U35">
            <v>7664.9292880171388</v>
          </cell>
          <cell r="V35">
            <v>53.321247220988795</v>
          </cell>
        </row>
        <row r="36">
          <cell r="C36" t="str">
            <v>TEC.SEG.TRAB.II</v>
          </cell>
          <cell r="E36">
            <v>4079.4641666666666</v>
          </cell>
          <cell r="F36">
            <v>4169.1518532467289</v>
          </cell>
          <cell r="G36">
            <v>50029.822238960747</v>
          </cell>
          <cell r="L36">
            <v>4169.1518532467289</v>
          </cell>
          <cell r="M36">
            <v>1389.7172844155762</v>
          </cell>
          <cell r="N36">
            <v>16120.720499220686</v>
          </cell>
          <cell r="O36">
            <v>4447.0953101298446</v>
          </cell>
          <cell r="P36">
            <v>750.44733358441113</v>
          </cell>
          <cell r="Q36">
            <v>10005.96444779215</v>
          </cell>
          <cell r="R36">
            <v>0</v>
          </cell>
          <cell r="S36">
            <v>36883.096728389399</v>
          </cell>
          <cell r="T36">
            <v>86912.918967350153</v>
          </cell>
          <cell r="U36">
            <v>7242.7432472791797</v>
          </cell>
          <cell r="V36">
            <v>50.384300850637771</v>
          </cell>
        </row>
        <row r="37">
          <cell r="C37" t="str">
            <v>TEC.OPERAC. II</v>
          </cell>
          <cell r="E37">
            <v>4041.8477845528464</v>
          </cell>
          <cell r="F37">
            <v>4130.7084688229324</v>
          </cell>
          <cell r="G37">
            <v>49568.501625875186</v>
          </cell>
          <cell r="I37">
            <v>498</v>
          </cell>
          <cell r="L37">
            <v>4172.2084688229315</v>
          </cell>
          <cell r="M37">
            <v>1390.7361562743106</v>
          </cell>
          <cell r="N37">
            <v>16132.539412782002</v>
          </cell>
          <cell r="O37">
            <v>4450.3557000777937</v>
          </cell>
          <cell r="P37">
            <v>743.52752438812774</v>
          </cell>
          <cell r="Q37">
            <v>9913.7003251750375</v>
          </cell>
          <cell r="R37">
            <v>0</v>
          </cell>
          <cell r="S37">
            <v>37301.0675875202</v>
          </cell>
          <cell r="T37">
            <v>86869.569213395385</v>
          </cell>
          <cell r="U37">
            <v>7239.1307677829491</v>
          </cell>
          <cell r="V37">
            <v>50.359170558490078</v>
          </cell>
        </row>
        <row r="38">
          <cell r="C38" t="str">
            <v>CONS.DE ADMINIS.</v>
          </cell>
          <cell r="E38">
            <v>3945.6339393939397</v>
          </cell>
          <cell r="F38">
            <v>4032.3793465499907</v>
          </cell>
          <cell r="G38">
            <v>48388.552158599887</v>
          </cell>
          <cell r="L38">
            <v>4032.3793465499903</v>
          </cell>
          <cell r="M38">
            <v>1344.1264488499967</v>
          </cell>
          <cell r="N38">
            <v>15591.866806659962</v>
          </cell>
          <cell r="O38">
            <v>4301.2046363199897</v>
          </cell>
          <cell r="P38">
            <v>725.82828237899832</v>
          </cell>
          <cell r="Q38">
            <v>9677.7104317199774</v>
          </cell>
          <cell r="R38">
            <v>0</v>
          </cell>
          <cell r="S38">
            <v>35673.115952478918</v>
          </cell>
          <cell r="T38">
            <v>84061.668111078805</v>
          </cell>
          <cell r="U38">
            <v>7005.1390092565671</v>
          </cell>
          <cell r="V38">
            <v>48.731401803523944</v>
          </cell>
        </row>
        <row r="39">
          <cell r="C39" t="str">
            <v>AG.OPERAC. A-V</v>
          </cell>
          <cell r="E39">
            <v>3888.8558399999997</v>
          </cell>
          <cell r="F39">
            <v>3974.352971359277</v>
          </cell>
          <cell r="G39">
            <v>47692.235656311328</v>
          </cell>
          <cell r="L39">
            <v>3974.352971359277</v>
          </cell>
          <cell r="M39">
            <v>1324.7843237864256</v>
          </cell>
          <cell r="N39">
            <v>15367.49815592254</v>
          </cell>
          <cell r="O39">
            <v>4239.309836116563</v>
          </cell>
          <cell r="P39">
            <v>715.38353484466984</v>
          </cell>
          <cell r="Q39">
            <v>9538.4471312622663</v>
          </cell>
          <cell r="R39">
            <v>0</v>
          </cell>
          <cell r="S39">
            <v>35159.775953291741</v>
          </cell>
          <cell r="T39">
            <v>82852.011609603069</v>
          </cell>
          <cell r="U39">
            <v>6904.3343008002557</v>
          </cell>
          <cell r="V39">
            <v>48.030151657740909</v>
          </cell>
        </row>
        <row r="40">
          <cell r="C40" t="str">
            <v>AG.SUPORTE B-II</v>
          </cell>
          <cell r="E40">
            <v>3784.5720274914079</v>
          </cell>
          <cell r="F40">
            <v>3867.7764621852584</v>
          </cell>
          <cell r="G40">
            <v>46413.317546223101</v>
          </cell>
          <cell r="L40">
            <v>3867.7764621852584</v>
          </cell>
          <cell r="M40">
            <v>1289.2588207284193</v>
          </cell>
          <cell r="N40">
            <v>14955.402320449664</v>
          </cell>
          <cell r="O40">
            <v>4125.6282263309422</v>
          </cell>
          <cell r="P40">
            <v>696.19976319334648</v>
          </cell>
          <cell r="Q40">
            <v>9282.6635092446213</v>
          </cell>
          <cell r="R40">
            <v>0</v>
          </cell>
          <cell r="S40">
            <v>34216.929102132257</v>
          </cell>
          <cell r="T40">
            <v>80630.246648355358</v>
          </cell>
          <cell r="U40">
            <v>6719.1872206962798</v>
          </cell>
          <cell r="V40">
            <v>46.742171970061079</v>
          </cell>
        </row>
        <row r="41">
          <cell r="C41" t="str">
            <v>AN.SUPORTE B-I</v>
          </cell>
          <cell r="E41">
            <v>3693.3237499999996</v>
          </cell>
          <cell r="F41">
            <v>3774.5220763967141</v>
          </cell>
          <cell r="G41">
            <v>45294.26491676057</v>
          </cell>
          <cell r="L41">
            <v>3774.5220763967141</v>
          </cell>
          <cell r="M41">
            <v>1258.1740254655713</v>
          </cell>
          <cell r="N41">
            <v>14594.818695400629</v>
          </cell>
          <cell r="O41">
            <v>4026.1568814898287</v>
          </cell>
          <cell r="P41">
            <v>679.41397375140855</v>
          </cell>
          <cell r="Q41">
            <v>9058.8529833521152</v>
          </cell>
          <cell r="R41">
            <v>0</v>
          </cell>
          <cell r="S41">
            <v>33391.938635856262</v>
          </cell>
          <cell r="T41">
            <v>78686.203552616833</v>
          </cell>
          <cell r="U41">
            <v>6557.1836293847364</v>
          </cell>
          <cell r="V41">
            <v>45.615190465285117</v>
          </cell>
        </row>
        <row r="42">
          <cell r="C42" t="str">
            <v>AG.OPERAC. A-IV</v>
          </cell>
          <cell r="E42">
            <v>3334.8827245862867</v>
          </cell>
          <cell r="F42">
            <v>3408.2006664444089</v>
          </cell>
          <cell r="G42">
            <v>40898.407997332906</v>
          </cell>
          <cell r="L42">
            <v>3408.2006664444089</v>
          </cell>
          <cell r="M42">
            <v>1136.066888814803</v>
          </cell>
          <cell r="N42">
            <v>13178.375910251714</v>
          </cell>
          <cell r="O42">
            <v>3635.4140442073694</v>
          </cell>
          <cell r="P42">
            <v>613.47611995999353</v>
          </cell>
          <cell r="Q42">
            <v>8179.6815994665812</v>
          </cell>
          <cell r="R42">
            <v>0</v>
          </cell>
          <cell r="S42">
            <v>30151.215229144869</v>
          </cell>
          <cell r="T42">
            <v>71049.623226477779</v>
          </cell>
          <cell r="U42">
            <v>5920.8019355398146</v>
          </cell>
          <cell r="V42">
            <v>41.188187377668278</v>
          </cell>
        </row>
        <row r="43">
          <cell r="C43" t="str">
            <v>AG.OPERAC. B-II</v>
          </cell>
          <cell r="D43" t="str">
            <v>O1e2</v>
          </cell>
          <cell r="E43">
            <v>3239.4658830845806</v>
          </cell>
          <cell r="F43">
            <v>3310.686070084359</v>
          </cell>
          <cell r="G43">
            <v>39728.232841012308</v>
          </cell>
          <cell r="H43">
            <v>0</v>
          </cell>
          <cell r="I43">
            <v>1992</v>
          </cell>
          <cell r="L43">
            <v>3476.686070084359</v>
          </cell>
          <cell r="M43">
            <v>1158.8953566947862</v>
          </cell>
          <cell r="N43">
            <v>13443.186137659523</v>
          </cell>
          <cell r="O43">
            <v>3708.4651414233167</v>
          </cell>
          <cell r="P43">
            <v>595.92349261518461</v>
          </cell>
          <cell r="Q43">
            <v>7945.6465682024618</v>
          </cell>
          <cell r="R43">
            <v>0</v>
          </cell>
          <cell r="S43">
            <v>32320.80276667963</v>
          </cell>
          <cell r="T43">
            <v>72049.035607691942</v>
          </cell>
          <cell r="U43">
            <v>6004.0863006409954</v>
          </cell>
          <cell r="V43">
            <v>41.767556874024315</v>
          </cell>
        </row>
        <row r="44">
          <cell r="C44" t="str">
            <v>EMPR EM COMISSAO</v>
          </cell>
          <cell r="E44">
            <v>2993.9708333333333</v>
          </cell>
          <cell r="F44">
            <v>3059.7937715329003</v>
          </cell>
          <cell r="G44">
            <v>36717.525258394802</v>
          </cell>
          <cell r="L44">
            <v>3059.7937715328999</v>
          </cell>
          <cell r="M44">
            <v>1019.9312571776334</v>
          </cell>
          <cell r="N44">
            <v>11831.202583260547</v>
          </cell>
          <cell r="O44">
            <v>3263.7800229684271</v>
          </cell>
          <cell r="P44">
            <v>550.76287887592207</v>
          </cell>
          <cell r="Q44">
            <v>7343.5050516789606</v>
          </cell>
          <cell r="R44">
            <v>0</v>
          </cell>
          <cell r="S44">
            <v>27068.975565494387</v>
          </cell>
          <cell r="T44">
            <v>63786.50082388919</v>
          </cell>
          <cell r="U44">
            <v>5315.5417353240991</v>
          </cell>
          <cell r="V44">
            <v>36.977681637037215</v>
          </cell>
        </row>
        <row r="45">
          <cell r="C45" t="str">
            <v>VIGIA</v>
          </cell>
          <cell r="E45">
            <v>2877.467916666667</v>
          </cell>
          <cell r="F45">
            <v>2940.7295191984172</v>
          </cell>
          <cell r="G45">
            <v>35288.754230381004</v>
          </cell>
          <cell r="L45">
            <v>2940.7295191984167</v>
          </cell>
          <cell r="M45">
            <v>980.24317306613898</v>
          </cell>
          <cell r="N45">
            <v>11370.820807567212</v>
          </cell>
          <cell r="O45">
            <v>3136.7781538116451</v>
          </cell>
          <cell r="P45">
            <v>529.33131345571508</v>
          </cell>
          <cell r="Q45">
            <v>7057.750846076201</v>
          </cell>
          <cell r="R45">
            <v>0</v>
          </cell>
          <cell r="S45">
            <v>26015.653813175326</v>
          </cell>
          <cell r="T45">
            <v>61304.40804355633</v>
          </cell>
          <cell r="U45">
            <v>5108.7006702963608</v>
          </cell>
          <cell r="V45">
            <v>35.538787271626859</v>
          </cell>
        </row>
        <row r="46">
          <cell r="C46" t="str">
            <v>TEC.OPERAC. I</v>
          </cell>
          <cell r="D46" t="str">
            <v>O3</v>
          </cell>
          <cell r="E46">
            <v>2851.9438677536236</v>
          </cell>
          <cell r="F46">
            <v>2914.6443198975676</v>
          </cell>
          <cell r="G46">
            <v>34975.731838770807</v>
          </cell>
          <cell r="H46">
            <v>0</v>
          </cell>
          <cell r="I46">
            <v>1992</v>
          </cell>
          <cell r="L46">
            <v>3080.6443198975671</v>
          </cell>
          <cell r="M46">
            <v>1026.8814399658556</v>
          </cell>
          <cell r="N46">
            <v>11911.824703603927</v>
          </cell>
          <cell r="O46">
            <v>3286.020607890739</v>
          </cell>
          <cell r="P46">
            <v>524.63597758156209</v>
          </cell>
          <cell r="Q46">
            <v>6995.1463677541615</v>
          </cell>
          <cell r="R46">
            <v>0</v>
          </cell>
          <cell r="S46">
            <v>28817.153416693811</v>
          </cell>
          <cell r="T46">
            <v>63792.885255464615</v>
          </cell>
          <cell r="U46">
            <v>5316.0737712887176</v>
          </cell>
          <cell r="V46">
            <v>36.981382756791078</v>
          </cell>
        </row>
        <row r="47">
          <cell r="C47" t="str">
            <v>AG.OPERAC. A-III</v>
          </cell>
          <cell r="D47" t="str">
            <v>O4</v>
          </cell>
          <cell r="E47">
            <v>2811.5910944206007</v>
          </cell>
          <cell r="F47">
            <v>2873.404384246292</v>
          </cell>
          <cell r="G47">
            <v>34480.852610955502</v>
          </cell>
          <cell r="H47">
            <v>0</v>
          </cell>
          <cell r="I47">
            <v>996</v>
          </cell>
          <cell r="L47">
            <v>2956.4043842462916</v>
          </cell>
          <cell r="M47">
            <v>985.46812808209722</v>
          </cell>
          <cell r="N47">
            <v>11431.430285752327</v>
          </cell>
          <cell r="O47">
            <v>3153.4980098627111</v>
          </cell>
          <cell r="P47">
            <v>517.21278916433255</v>
          </cell>
          <cell r="Q47">
            <v>6896.1705221911006</v>
          </cell>
          <cell r="R47">
            <v>0</v>
          </cell>
          <cell r="S47">
            <v>26936.184119298861</v>
          </cell>
          <cell r="T47">
            <v>61417.03673025436</v>
          </cell>
          <cell r="U47">
            <v>5118.0863941878633</v>
          </cell>
          <cell r="V47">
            <v>35.604079263915573</v>
          </cell>
        </row>
        <row r="48">
          <cell r="C48" t="str">
            <v>TEC.SEG.TRAB.I</v>
          </cell>
          <cell r="E48">
            <v>2681.06</v>
          </cell>
          <cell r="F48">
            <v>2740.0035423767481</v>
          </cell>
          <cell r="G48">
            <v>32880.042508520979</v>
          </cell>
          <cell r="L48">
            <v>2740.0035423767481</v>
          </cell>
          <cell r="M48">
            <v>913.3345141255827</v>
          </cell>
          <cell r="N48">
            <v>10594.68036385676</v>
          </cell>
          <cell r="O48">
            <v>2922.6704452018648</v>
          </cell>
          <cell r="P48">
            <v>493.20063762781467</v>
          </cell>
          <cell r="Q48">
            <v>6576.0085017041965</v>
          </cell>
          <cell r="R48">
            <v>0</v>
          </cell>
          <cell r="S48">
            <v>24239.898004892966</v>
          </cell>
          <cell r="T48">
            <v>57119.940513413945</v>
          </cell>
          <cell r="U48">
            <v>4759.9950427844951</v>
          </cell>
          <cell r="V48">
            <v>33.113008993283444</v>
          </cell>
        </row>
        <row r="49">
          <cell r="C49" t="str">
            <v>TEC.CONTAB. I</v>
          </cell>
          <cell r="E49">
            <v>2601.4783333333335</v>
          </cell>
          <cell r="F49">
            <v>2658.6722597590851</v>
          </cell>
          <cell r="G49">
            <v>31904.067117109022</v>
          </cell>
          <cell r="L49">
            <v>2658.6722597590851</v>
          </cell>
          <cell r="M49">
            <v>886.22408658636164</v>
          </cell>
          <cell r="N49">
            <v>10280.199404401796</v>
          </cell>
          <cell r="O49">
            <v>2835.9170770763576</v>
          </cell>
          <cell r="P49">
            <v>478.56100675663532</v>
          </cell>
          <cell r="Q49">
            <v>6380.8134234218051</v>
          </cell>
          <cell r="R49">
            <v>0</v>
          </cell>
          <cell r="S49">
            <v>23520.38725800204</v>
          </cell>
          <cell r="T49">
            <v>55424.454375111061</v>
          </cell>
          <cell r="U49">
            <v>4618.7045312592554</v>
          </cell>
          <cell r="V49">
            <v>32.130118478325251</v>
          </cell>
        </row>
        <row r="50">
          <cell r="C50" t="str">
            <v>AG.SUPORTE A-I</v>
          </cell>
          <cell r="E50">
            <v>2432.5096639784947</v>
          </cell>
          <cell r="F50">
            <v>2485.9887865869277</v>
          </cell>
          <cell r="G50">
            <v>29831.865439043133</v>
          </cell>
          <cell r="L50">
            <v>2485.9887865869277</v>
          </cell>
          <cell r="M50">
            <v>828.66292886230917</v>
          </cell>
          <cell r="N50">
            <v>9612.4899748027874</v>
          </cell>
          <cell r="O50">
            <v>2651.72137235939</v>
          </cell>
          <cell r="P50">
            <v>447.477981585647</v>
          </cell>
          <cell r="Q50">
            <v>5966.3730878086271</v>
          </cell>
          <cell r="R50">
            <v>0</v>
          </cell>
          <cell r="S50">
            <v>21992.714132005691</v>
          </cell>
          <cell r="T50">
            <v>51824.579571048824</v>
          </cell>
          <cell r="U50">
            <v>4318.7149642540689</v>
          </cell>
          <cell r="V50">
            <v>30.043234533941348</v>
          </cell>
        </row>
        <row r="51">
          <cell r="C51" t="str">
            <v>AG.OPERAC. A-II</v>
          </cell>
          <cell r="E51">
            <v>1996.8821264367816</v>
          </cell>
          <cell r="F51">
            <v>2040.7839064196978</v>
          </cell>
          <cell r="G51">
            <v>24489.406877036374</v>
          </cell>
          <cell r="L51">
            <v>2040.7839064196978</v>
          </cell>
          <cell r="M51">
            <v>680.26130213989927</v>
          </cell>
          <cell r="N51">
            <v>7891.0311048228314</v>
          </cell>
          <cell r="O51">
            <v>2176.8361668476778</v>
          </cell>
          <cell r="P51">
            <v>367.34110315554557</v>
          </cell>
          <cell r="Q51">
            <v>4897.8813754072753</v>
          </cell>
          <cell r="R51">
            <v>0</v>
          </cell>
          <cell r="S51">
            <v>18054.134958792929</v>
          </cell>
          <cell r="T51">
            <v>42543.541835829303</v>
          </cell>
          <cell r="U51">
            <v>3545.2951529857751</v>
          </cell>
          <cell r="V51">
            <v>24.662922803379306</v>
          </cell>
        </row>
        <row r="52">
          <cell r="C52" t="str">
            <v>AG.OPERAC. A-II E</v>
          </cell>
          <cell r="E52">
            <v>1996.8821264367816</v>
          </cell>
          <cell r="F52">
            <v>2040.7839064196978</v>
          </cell>
          <cell r="G52">
            <v>24489.406877036374</v>
          </cell>
          <cell r="L52">
            <v>2040.7839064196978</v>
          </cell>
          <cell r="M52">
            <v>680.26130213989927</v>
          </cell>
          <cell r="N52">
            <v>7891.0311048228314</v>
          </cell>
          <cell r="O52">
            <v>2176.8361668476778</v>
          </cell>
          <cell r="P52">
            <v>367.34110315554557</v>
          </cell>
          <cell r="Q52">
            <v>4897.8813754072753</v>
          </cell>
          <cell r="R52">
            <v>0</v>
          </cell>
          <cell r="S52">
            <v>18054.134958792929</v>
          </cell>
          <cell r="T52">
            <v>42543.541835829303</v>
          </cell>
          <cell r="U52">
            <v>3545.2951529857751</v>
          </cell>
          <cell r="V52">
            <v>24.662922803379306</v>
          </cell>
        </row>
        <row r="53">
          <cell r="C53" t="str">
            <v>AG.OPERAC. A-II A</v>
          </cell>
          <cell r="E53">
            <v>1996.8821264367816</v>
          </cell>
          <cell r="F53">
            <v>2040.7839064196978</v>
          </cell>
          <cell r="G53">
            <v>24489.406877036374</v>
          </cell>
          <cell r="L53">
            <v>2040.7839064196978</v>
          </cell>
          <cell r="M53">
            <v>680.26130213989927</v>
          </cell>
          <cell r="N53">
            <v>7891.0311048228314</v>
          </cell>
          <cell r="O53">
            <v>2176.8361668476778</v>
          </cell>
          <cell r="P53">
            <v>367.34110315554557</v>
          </cell>
          <cell r="Q53">
            <v>4897.8813754072753</v>
          </cell>
          <cell r="R53">
            <v>0</v>
          </cell>
          <cell r="S53">
            <v>18054.134958792929</v>
          </cell>
          <cell r="T53">
            <v>42543.541835829303</v>
          </cell>
          <cell r="U53">
            <v>3545.2951529857751</v>
          </cell>
          <cell r="V53">
            <v>24.662922803379306</v>
          </cell>
        </row>
        <row r="54">
          <cell r="C54" t="str">
            <v>AG.OPERAC. B-I</v>
          </cell>
          <cell r="E54">
            <v>1911.4824629629629</v>
          </cell>
          <cell r="F54">
            <v>1953.5067173840009</v>
          </cell>
          <cell r="G54">
            <v>23442.080608608012</v>
          </cell>
          <cell r="L54">
            <v>1953.5067173840009</v>
          </cell>
          <cell r="M54">
            <v>651.16890579466701</v>
          </cell>
          <cell r="N54">
            <v>7553.5593072181364</v>
          </cell>
          <cell r="O54">
            <v>2083.7404985429343</v>
          </cell>
          <cell r="P54">
            <v>351.63120912912018</v>
          </cell>
          <cell r="Q54">
            <v>4688.4161217216024</v>
          </cell>
          <cell r="R54">
            <v>0</v>
          </cell>
          <cell r="S54">
            <v>17282.02275979046</v>
          </cell>
          <cell r="T54">
            <v>40724.103368398472</v>
          </cell>
          <cell r="U54">
            <v>3393.6752806998725</v>
          </cell>
          <cell r="V54">
            <v>23.608175865738243</v>
          </cell>
        </row>
        <row r="55">
          <cell r="C55" t="str">
            <v>AG.SUPORTE B-I</v>
          </cell>
          <cell r="E55">
            <v>1590.1994937694701</v>
          </cell>
          <cell r="F55">
            <v>1625.1602895921985</v>
          </cell>
          <cell r="G55">
            <v>19501.923475106381</v>
          </cell>
          <cell r="L55">
            <v>1625.1602895921983</v>
          </cell>
          <cell r="M55">
            <v>541.7200965307328</v>
          </cell>
          <cell r="N55">
            <v>6283.9531197564993</v>
          </cell>
          <cell r="O55">
            <v>1733.5043088983448</v>
          </cell>
          <cell r="P55">
            <v>292.52885212659572</v>
          </cell>
          <cell r="Q55">
            <v>3900.3846950212765</v>
          </cell>
          <cell r="R55">
            <v>0</v>
          </cell>
          <cell r="S55">
            <v>14377.25136192565</v>
          </cell>
          <cell r="T55">
            <v>33879.174837032027</v>
          </cell>
          <cell r="U55">
            <v>2823.2645697526691</v>
          </cell>
          <cell r="V55">
            <v>19.640101354801175</v>
          </cell>
        </row>
        <row r="56">
          <cell r="C56" t="str">
            <v>AG.OPERAC. A-I</v>
          </cell>
          <cell r="D56" t="str">
            <v>O5</v>
          </cell>
          <cell r="E56">
            <v>1409.3978961748628</v>
          </cell>
          <cell r="F56">
            <v>1440.3837393185756</v>
          </cell>
          <cell r="G56">
            <v>17284.604871822907</v>
          </cell>
          <cell r="H56">
            <v>0</v>
          </cell>
          <cell r="I56">
            <v>1992</v>
          </cell>
          <cell r="L56">
            <v>1606.3837393185754</v>
          </cell>
          <cell r="M56">
            <v>535.46124643952521</v>
          </cell>
          <cell r="N56">
            <v>6211.3504586984918</v>
          </cell>
          <cell r="O56">
            <v>1713.4759886064805</v>
          </cell>
          <cell r="P56">
            <v>259.26907307734359</v>
          </cell>
          <cell r="Q56">
            <v>3456.9209743645815</v>
          </cell>
          <cell r="R56">
            <v>0</v>
          </cell>
          <cell r="S56">
            <v>15774.861480504998</v>
          </cell>
          <cell r="T56">
            <v>33059.466352327901</v>
          </cell>
          <cell r="U56">
            <v>2754.9555293606586</v>
          </cell>
          <cell r="V56">
            <v>19.164908030335017</v>
          </cell>
        </row>
        <row r="57"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</sheetData>
      <sheetData sheetId="3">
        <row r="11">
          <cell r="B11" t="str">
            <v>EQ1</v>
          </cell>
          <cell r="C11" t="str">
            <v>Quantidade</v>
          </cell>
          <cell r="F11">
            <v>1</v>
          </cell>
          <cell r="K11">
            <v>36.981382756791078</v>
          </cell>
          <cell r="L11">
            <v>0.08</v>
          </cell>
          <cell r="M11">
            <v>2.9585106205432861</v>
          </cell>
          <cell r="N11">
            <v>39.939893377334364</v>
          </cell>
          <cell r="P11">
            <v>1</v>
          </cell>
          <cell r="AD11">
            <v>4.5877525252525251</v>
          </cell>
          <cell r="AT11">
            <v>0</v>
          </cell>
          <cell r="AV11">
            <v>44.52764590258689</v>
          </cell>
        </row>
        <row r="12">
          <cell r="C12" t="str">
            <v>Custo Total (R$/Hora)</v>
          </cell>
          <cell r="D12">
            <v>0</v>
          </cell>
          <cell r="E12">
            <v>0</v>
          </cell>
          <cell r="F12">
            <v>36.981382756791078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O12">
            <v>0</v>
          </cell>
          <cell r="P12">
            <v>4.5877525252525251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</row>
        <row r="13">
          <cell r="B13" t="str">
            <v>EQ2</v>
          </cell>
          <cell r="C13" t="str">
            <v>Quantidade</v>
          </cell>
          <cell r="G13">
            <v>1</v>
          </cell>
          <cell r="K13">
            <v>35.604079263915573</v>
          </cell>
          <cell r="L13">
            <v>0.08</v>
          </cell>
          <cell r="M13">
            <v>2.8483263411132458</v>
          </cell>
          <cell r="N13">
            <v>38.452405605028815</v>
          </cell>
          <cell r="P13">
            <v>1</v>
          </cell>
          <cell r="AD13">
            <v>4.5877525252525251</v>
          </cell>
          <cell r="AT13">
            <v>0</v>
          </cell>
          <cell r="AV13">
            <v>43.040158130281341</v>
          </cell>
        </row>
        <row r="14">
          <cell r="C14" t="str">
            <v>Custo Total (R$/Hora)</v>
          </cell>
          <cell r="D14">
            <v>0</v>
          </cell>
          <cell r="E14">
            <v>0</v>
          </cell>
          <cell r="F14">
            <v>0</v>
          </cell>
          <cell r="G14">
            <v>35.604079263915573</v>
          </cell>
          <cell r="H14">
            <v>0</v>
          </cell>
          <cell r="I14">
            <v>0</v>
          </cell>
          <cell r="J14">
            <v>0</v>
          </cell>
          <cell r="O14">
            <v>0</v>
          </cell>
          <cell r="P14">
            <v>4.5877525252525251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B15" t="str">
            <v>EQ2_T</v>
          </cell>
          <cell r="C15" t="str">
            <v>Quantidade</v>
          </cell>
          <cell r="G15">
            <v>1</v>
          </cell>
          <cell r="K15">
            <v>44.505099079894464</v>
          </cell>
          <cell r="L15">
            <v>0.08</v>
          </cell>
          <cell r="M15">
            <v>3.5604079263915573</v>
          </cell>
          <cell r="N15">
            <v>48.065507006286019</v>
          </cell>
          <cell r="P15">
            <v>1</v>
          </cell>
          <cell r="AD15">
            <v>4.5877525252525251</v>
          </cell>
          <cell r="AT15">
            <v>0</v>
          </cell>
          <cell r="AV15">
            <v>52.653259531538545</v>
          </cell>
        </row>
        <row r="16">
          <cell r="C16" t="str">
            <v>Custo Total (R$/Hora)</v>
          </cell>
          <cell r="D16">
            <v>0</v>
          </cell>
          <cell r="E16">
            <v>0</v>
          </cell>
          <cell r="F16">
            <v>0</v>
          </cell>
          <cell r="G16">
            <v>44.505099079894464</v>
          </cell>
          <cell r="H16">
            <v>0</v>
          </cell>
          <cell r="I16">
            <v>0</v>
          </cell>
          <cell r="J16">
            <v>0</v>
          </cell>
          <cell r="O16">
            <v>0</v>
          </cell>
          <cell r="P16">
            <v>4.5877525252525251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B17" t="str">
            <v>EQ3</v>
          </cell>
          <cell r="C17" t="str">
            <v>Quantidade</v>
          </cell>
          <cell r="F17">
            <v>2</v>
          </cell>
          <cell r="H17">
            <v>1</v>
          </cell>
          <cell r="K17">
            <v>93.127673543917169</v>
          </cell>
          <cell r="L17">
            <v>0.08</v>
          </cell>
          <cell r="M17">
            <v>7.4502138835133733</v>
          </cell>
          <cell r="N17">
            <v>100.57788742743054</v>
          </cell>
          <cell r="Q17">
            <v>1</v>
          </cell>
          <cell r="AD17">
            <v>5.955303030303031</v>
          </cell>
          <cell r="AT17">
            <v>0</v>
          </cell>
          <cell r="AV17">
            <v>106.53319045773357</v>
          </cell>
        </row>
        <row r="18">
          <cell r="C18" t="str">
            <v>Custo Total (R$/Hora)</v>
          </cell>
          <cell r="D18">
            <v>0</v>
          </cell>
          <cell r="E18">
            <v>0</v>
          </cell>
          <cell r="F18">
            <v>73.962765513582156</v>
          </cell>
          <cell r="G18">
            <v>0</v>
          </cell>
          <cell r="H18">
            <v>19.164908030335017</v>
          </cell>
          <cell r="I18">
            <v>0</v>
          </cell>
          <cell r="J18">
            <v>0</v>
          </cell>
          <cell r="O18">
            <v>0</v>
          </cell>
          <cell r="P18">
            <v>0</v>
          </cell>
          <cell r="Q18">
            <v>5.955303030303031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B19" t="str">
            <v>EQ3_T</v>
          </cell>
          <cell r="C19" t="str">
            <v>Quantidade</v>
          </cell>
          <cell r="F19">
            <v>2</v>
          </cell>
          <cell r="H19">
            <v>1</v>
          </cell>
          <cell r="K19">
            <v>116.40959192989648</v>
          </cell>
          <cell r="L19">
            <v>0.08</v>
          </cell>
          <cell r="M19">
            <v>9.3127673543917187</v>
          </cell>
          <cell r="N19">
            <v>125.7223592842882</v>
          </cell>
          <cell r="Q19">
            <v>1</v>
          </cell>
          <cell r="AD19">
            <v>5.955303030303031</v>
          </cell>
          <cell r="AT19">
            <v>0</v>
          </cell>
          <cell r="AV19">
            <v>131.67766231459123</v>
          </cell>
        </row>
        <row r="20">
          <cell r="C20" t="str">
            <v>Custo Total (R$/Hora)</v>
          </cell>
          <cell r="D20">
            <v>0</v>
          </cell>
          <cell r="E20">
            <v>0</v>
          </cell>
          <cell r="F20">
            <v>92.453456891977709</v>
          </cell>
          <cell r="G20">
            <v>0</v>
          </cell>
          <cell r="H20">
            <v>23.95613503791877</v>
          </cell>
          <cell r="I20">
            <v>0</v>
          </cell>
          <cell r="J20">
            <v>0</v>
          </cell>
          <cell r="O20">
            <v>0</v>
          </cell>
          <cell r="P20">
            <v>0</v>
          </cell>
          <cell r="Q20">
            <v>5.955303030303031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B21" t="str">
            <v>EQ4</v>
          </cell>
          <cell r="C21" t="str">
            <v>Quantidade</v>
          </cell>
          <cell r="G21">
            <v>2</v>
          </cell>
          <cell r="H21">
            <v>1</v>
          </cell>
          <cell r="K21">
            <v>90.373066558166158</v>
          </cell>
          <cell r="L21">
            <v>0.08</v>
          </cell>
          <cell r="M21">
            <v>7.2298453246532928</v>
          </cell>
          <cell r="N21">
            <v>97.602911882819456</v>
          </cell>
          <cell r="Q21">
            <v>1</v>
          </cell>
          <cell r="AD21">
            <v>5.955303030303031</v>
          </cell>
          <cell r="AT21">
            <v>0</v>
          </cell>
          <cell r="AV21">
            <v>103.55821491312248</v>
          </cell>
        </row>
        <row r="22">
          <cell r="C22" t="str">
            <v>Custo Total (R$/Hora)</v>
          </cell>
          <cell r="D22">
            <v>0</v>
          </cell>
          <cell r="E22">
            <v>0</v>
          </cell>
          <cell r="F22">
            <v>0</v>
          </cell>
          <cell r="G22">
            <v>71.208158527831145</v>
          </cell>
          <cell r="H22">
            <v>19.164908030335017</v>
          </cell>
          <cell r="I22">
            <v>0</v>
          </cell>
          <cell r="J22">
            <v>0</v>
          </cell>
          <cell r="O22">
            <v>0</v>
          </cell>
          <cell r="P22">
            <v>0</v>
          </cell>
          <cell r="Q22">
            <v>5.955303030303031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B23" t="str">
            <v>EQ4_T</v>
          </cell>
          <cell r="C23" t="str">
            <v>Quantidade</v>
          </cell>
          <cell r="G23">
            <v>2</v>
          </cell>
          <cell r="H23">
            <v>1</v>
          </cell>
          <cell r="K23">
            <v>112.9663331977077</v>
          </cell>
          <cell r="L23">
            <v>0.08</v>
          </cell>
          <cell r="M23">
            <v>9.0373066558166162</v>
          </cell>
          <cell r="N23">
            <v>122.00363985352432</v>
          </cell>
          <cell r="Q23">
            <v>1</v>
          </cell>
          <cell r="AD23">
            <v>5.955303030303031</v>
          </cell>
          <cell r="AT23">
            <v>0</v>
          </cell>
          <cell r="AV23">
            <v>127.95894288382735</v>
          </cell>
        </row>
        <row r="24">
          <cell r="C24" t="str">
            <v>Custo Total (R$/Hora)</v>
          </cell>
          <cell r="D24">
            <v>0</v>
          </cell>
          <cell r="E24">
            <v>0</v>
          </cell>
          <cell r="F24">
            <v>0</v>
          </cell>
          <cell r="G24">
            <v>89.010198159788928</v>
          </cell>
          <cell r="H24">
            <v>23.95613503791877</v>
          </cell>
          <cell r="I24">
            <v>0</v>
          </cell>
          <cell r="J24">
            <v>0</v>
          </cell>
          <cell r="O24">
            <v>0</v>
          </cell>
          <cell r="P24">
            <v>0</v>
          </cell>
          <cell r="Q24">
            <v>5.955303030303031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B25" t="str">
            <v>EQ5</v>
          </cell>
          <cell r="C25" t="str">
            <v>Quantidade</v>
          </cell>
          <cell r="F25">
            <v>3</v>
          </cell>
          <cell r="H25">
            <v>1</v>
          </cell>
          <cell r="K25">
            <v>130.10905630070826</v>
          </cell>
          <cell r="L25">
            <v>0.08</v>
          </cell>
          <cell r="M25">
            <v>10.408724504056661</v>
          </cell>
          <cell r="N25">
            <v>140.51778080476493</v>
          </cell>
          <cell r="R25">
            <v>1</v>
          </cell>
          <cell r="AD25">
            <v>6.7662878787878791</v>
          </cell>
          <cell r="AT25">
            <v>0</v>
          </cell>
          <cell r="AV25">
            <v>147.28406868355282</v>
          </cell>
        </row>
        <row r="26">
          <cell r="C26" t="str">
            <v>Custo Total (R$/Hora)</v>
          </cell>
          <cell r="D26">
            <v>0</v>
          </cell>
          <cell r="E26">
            <v>0</v>
          </cell>
          <cell r="F26">
            <v>110.94414827037323</v>
          </cell>
          <cell r="G26">
            <v>0</v>
          </cell>
          <cell r="H26">
            <v>19.164908030335017</v>
          </cell>
          <cell r="I26">
            <v>0</v>
          </cell>
          <cell r="J26">
            <v>0</v>
          </cell>
          <cell r="O26">
            <v>0</v>
          </cell>
          <cell r="P26">
            <v>0</v>
          </cell>
          <cell r="Q26">
            <v>0</v>
          </cell>
          <cell r="R26">
            <v>6.7662878787878791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B27" t="str">
            <v>EQ6</v>
          </cell>
          <cell r="C27" t="str">
            <v>Quantidade</v>
          </cell>
          <cell r="G27">
            <v>3</v>
          </cell>
          <cell r="H27">
            <v>1</v>
          </cell>
          <cell r="K27">
            <v>125.97714582208174</v>
          </cell>
          <cell r="L27">
            <v>0.08</v>
          </cell>
          <cell r="M27">
            <v>10.07817166576654</v>
          </cell>
          <cell r="N27">
            <v>136.05531748784827</v>
          </cell>
          <cell r="R27">
            <v>1</v>
          </cell>
          <cell r="AD27">
            <v>6.7662878787878791</v>
          </cell>
          <cell r="AT27">
            <v>0</v>
          </cell>
          <cell r="AV27">
            <v>142.82160536663616</v>
          </cell>
        </row>
        <row r="28">
          <cell r="C28" t="str">
            <v>Custo Total (R$/Hora)</v>
          </cell>
          <cell r="D28">
            <v>0</v>
          </cell>
          <cell r="E28">
            <v>0</v>
          </cell>
          <cell r="F28">
            <v>0</v>
          </cell>
          <cell r="G28">
            <v>106.81223779174672</v>
          </cell>
          <cell r="H28">
            <v>19.164908030335017</v>
          </cell>
          <cell r="I28">
            <v>0</v>
          </cell>
          <cell r="J28">
            <v>0</v>
          </cell>
          <cell r="O28">
            <v>0</v>
          </cell>
          <cell r="P28">
            <v>0</v>
          </cell>
          <cell r="Q28">
            <v>0</v>
          </cell>
          <cell r="R28">
            <v>6.7662878787878791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B29" t="str">
            <v>EQ7</v>
          </cell>
          <cell r="C29" t="str">
            <v>Quantidade</v>
          </cell>
          <cell r="D29">
            <v>1</v>
          </cell>
          <cell r="H29">
            <v>1</v>
          </cell>
          <cell r="K29">
            <v>60.932464904359335</v>
          </cell>
          <cell r="L29">
            <v>0.08</v>
          </cell>
          <cell r="M29">
            <v>4.8745971923487472</v>
          </cell>
          <cell r="N29">
            <v>65.80706209670808</v>
          </cell>
          <cell r="P29">
            <v>1</v>
          </cell>
          <cell r="AD29">
            <v>4.5877525252525251</v>
          </cell>
          <cell r="AF29">
            <v>1</v>
          </cell>
          <cell r="AT29">
            <v>2.6654589371980677</v>
          </cell>
          <cell r="AV29">
            <v>73.060273559158674</v>
          </cell>
        </row>
        <row r="30">
          <cell r="C30" t="str">
            <v>Custo Total (R$/Hora)</v>
          </cell>
          <cell r="D30">
            <v>41.767556874024315</v>
          </cell>
          <cell r="E30">
            <v>0</v>
          </cell>
          <cell r="F30">
            <v>0</v>
          </cell>
          <cell r="G30">
            <v>0</v>
          </cell>
          <cell r="H30">
            <v>19.164908030335017</v>
          </cell>
          <cell r="I30">
            <v>0</v>
          </cell>
          <cell r="J30">
            <v>0</v>
          </cell>
          <cell r="O30">
            <v>0</v>
          </cell>
          <cell r="P30">
            <v>4.5877525252525251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2.6654589371980677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B31" t="str">
            <v>EQ7_T</v>
          </cell>
          <cell r="C31" t="str">
            <v>Quantidade</v>
          </cell>
          <cell r="D31">
            <v>1</v>
          </cell>
          <cell r="H31">
            <v>1</v>
          </cell>
          <cell r="K31">
            <v>76.165581130449169</v>
          </cell>
          <cell r="L31">
            <v>0.08</v>
          </cell>
          <cell r="M31">
            <v>6.0932464904359334</v>
          </cell>
          <cell r="N31">
            <v>82.2588276208851</v>
          </cell>
          <cell r="P31">
            <v>1</v>
          </cell>
          <cell r="AD31">
            <v>4.5877525252525251</v>
          </cell>
          <cell r="AF31">
            <v>1</v>
          </cell>
          <cell r="AT31">
            <v>2.6654589371980677</v>
          </cell>
          <cell r="AV31">
            <v>89.512039083335694</v>
          </cell>
        </row>
        <row r="32">
          <cell r="C32" t="str">
            <v>Custo Total (R$/Hora)</v>
          </cell>
          <cell r="D32">
            <v>52.209446092530392</v>
          </cell>
          <cell r="E32">
            <v>0</v>
          </cell>
          <cell r="F32">
            <v>0</v>
          </cell>
          <cell r="G32">
            <v>0</v>
          </cell>
          <cell r="H32">
            <v>23.95613503791877</v>
          </cell>
          <cell r="I32">
            <v>0</v>
          </cell>
          <cell r="J32">
            <v>0</v>
          </cell>
          <cell r="O32">
            <v>0</v>
          </cell>
          <cell r="P32">
            <v>4.5877525252525251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2.6654589371980677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B33" t="str">
            <v>EQ8</v>
          </cell>
          <cell r="C33" t="str">
            <v>Quantidade</v>
          </cell>
          <cell r="E33">
            <v>1</v>
          </cell>
          <cell r="H33">
            <v>1</v>
          </cell>
          <cell r="K33">
            <v>60.932464904359335</v>
          </cell>
          <cell r="L33">
            <v>0.08</v>
          </cell>
          <cell r="M33">
            <v>4.8745971923487472</v>
          </cell>
          <cell r="N33">
            <v>65.80706209670808</v>
          </cell>
          <cell r="P33">
            <v>1</v>
          </cell>
          <cell r="AD33">
            <v>4.5877525252525251</v>
          </cell>
          <cell r="AF33">
            <v>1</v>
          </cell>
          <cell r="AT33">
            <v>2.6654589371980677</v>
          </cell>
          <cell r="AV33">
            <v>73.060273559158674</v>
          </cell>
        </row>
        <row r="34">
          <cell r="C34" t="str">
            <v>Custo Total (R$/Hora)</v>
          </cell>
          <cell r="D34">
            <v>0</v>
          </cell>
          <cell r="E34">
            <v>41.767556874024315</v>
          </cell>
          <cell r="F34">
            <v>0</v>
          </cell>
          <cell r="G34">
            <v>0</v>
          </cell>
          <cell r="H34">
            <v>19.164908030335017</v>
          </cell>
          <cell r="I34">
            <v>0</v>
          </cell>
          <cell r="J34">
            <v>0</v>
          </cell>
          <cell r="O34">
            <v>0</v>
          </cell>
          <cell r="P34">
            <v>4.5877525252525251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2.6654589371980677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B35" t="str">
            <v>EQ8_T</v>
          </cell>
          <cell r="C35" t="str">
            <v>Quantidade</v>
          </cell>
          <cell r="E35">
            <v>1</v>
          </cell>
          <cell r="H35">
            <v>1</v>
          </cell>
          <cell r="K35">
            <v>76.165581130449169</v>
          </cell>
          <cell r="L35">
            <v>0.08</v>
          </cell>
          <cell r="M35">
            <v>6.0932464904359334</v>
          </cell>
          <cell r="N35">
            <v>82.2588276208851</v>
          </cell>
          <cell r="P35">
            <v>1</v>
          </cell>
          <cell r="AD35">
            <v>4.5877525252525251</v>
          </cell>
          <cell r="AF35">
            <v>1</v>
          </cell>
          <cell r="AT35">
            <v>2.6654589371980677</v>
          </cell>
          <cell r="AV35">
            <v>89.512039083335694</v>
          </cell>
        </row>
        <row r="36">
          <cell r="C36" t="str">
            <v>Custo Total (R$/Hora)</v>
          </cell>
          <cell r="D36">
            <v>0</v>
          </cell>
          <cell r="E36">
            <v>52.209446092530392</v>
          </cell>
          <cell r="F36">
            <v>0</v>
          </cell>
          <cell r="G36">
            <v>0</v>
          </cell>
          <cell r="H36">
            <v>23.95613503791877</v>
          </cell>
          <cell r="I36">
            <v>0</v>
          </cell>
          <cell r="J36">
            <v>0</v>
          </cell>
          <cell r="O36">
            <v>0</v>
          </cell>
          <cell r="P36">
            <v>4.5877525252525251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2.6654589371980677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  <row r="37">
          <cell r="B37" t="str">
            <v>EQ9</v>
          </cell>
          <cell r="C37" t="str">
            <v>Quantidade</v>
          </cell>
          <cell r="D37">
            <v>1</v>
          </cell>
          <cell r="H37">
            <v>1</v>
          </cell>
          <cell r="K37">
            <v>60.932464904359335</v>
          </cell>
          <cell r="L37">
            <v>0.08</v>
          </cell>
          <cell r="M37">
            <v>4.8745971923487472</v>
          </cell>
          <cell r="N37">
            <v>65.80706209670808</v>
          </cell>
          <cell r="Q37">
            <v>1</v>
          </cell>
          <cell r="AD37">
            <v>5.955303030303031</v>
          </cell>
          <cell r="AT37">
            <v>0</v>
          </cell>
          <cell r="AV37">
            <v>71.762365127011108</v>
          </cell>
        </row>
        <row r="38">
          <cell r="C38" t="str">
            <v>Custo Total (R$/Hora)</v>
          </cell>
          <cell r="D38">
            <v>41.767556874024315</v>
          </cell>
          <cell r="E38">
            <v>0</v>
          </cell>
          <cell r="F38">
            <v>0</v>
          </cell>
          <cell r="G38">
            <v>0</v>
          </cell>
          <cell r="H38">
            <v>19.164908030335017</v>
          </cell>
          <cell r="I38">
            <v>0</v>
          </cell>
          <cell r="J38">
            <v>0</v>
          </cell>
          <cell r="O38">
            <v>0</v>
          </cell>
          <cell r="P38">
            <v>0</v>
          </cell>
          <cell r="Q38">
            <v>5.955303030303031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</row>
        <row r="39">
          <cell r="B39" t="str">
            <v>EQ10</v>
          </cell>
          <cell r="C39" t="str">
            <v>Quantidade</v>
          </cell>
          <cell r="E39">
            <v>1</v>
          </cell>
          <cell r="H39">
            <v>1</v>
          </cell>
          <cell r="K39">
            <v>60.932464904359335</v>
          </cell>
          <cell r="L39">
            <v>0.08</v>
          </cell>
          <cell r="M39">
            <v>4.8745971923487472</v>
          </cell>
          <cell r="N39">
            <v>65.80706209670808</v>
          </cell>
          <cell r="Q39">
            <v>1</v>
          </cell>
          <cell r="AD39">
            <v>5.955303030303031</v>
          </cell>
          <cell r="AT39">
            <v>0</v>
          </cell>
          <cell r="AV39">
            <v>71.762365127011108</v>
          </cell>
        </row>
        <row r="40">
          <cell r="C40" t="str">
            <v>Custo Total (R$/Hora)</v>
          </cell>
          <cell r="D40">
            <v>0</v>
          </cell>
          <cell r="E40">
            <v>41.767556874024315</v>
          </cell>
          <cell r="F40">
            <v>0</v>
          </cell>
          <cell r="G40">
            <v>0</v>
          </cell>
          <cell r="H40">
            <v>19.164908030335017</v>
          </cell>
          <cell r="I40">
            <v>0</v>
          </cell>
          <cell r="J40">
            <v>0</v>
          </cell>
          <cell r="O40">
            <v>0</v>
          </cell>
          <cell r="P40">
            <v>0</v>
          </cell>
          <cell r="Q40">
            <v>5.955303030303031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B41" t="str">
            <v>EQ11</v>
          </cell>
          <cell r="C41" t="str">
            <v>Quantidade</v>
          </cell>
          <cell r="D41">
            <v>1</v>
          </cell>
          <cell r="F41">
            <v>1</v>
          </cell>
          <cell r="H41">
            <v>1</v>
          </cell>
          <cell r="K41">
            <v>97.913847661150399</v>
          </cell>
          <cell r="L41">
            <v>0.08</v>
          </cell>
          <cell r="M41">
            <v>7.833107812892032</v>
          </cell>
          <cell r="N41">
            <v>105.74695547404244</v>
          </cell>
          <cell r="AD41">
            <v>0</v>
          </cell>
          <cell r="AT41">
            <v>0</v>
          </cell>
          <cell r="AV41">
            <v>105.74695547404244</v>
          </cell>
        </row>
        <row r="42">
          <cell r="C42" t="str">
            <v>Custo Total (R$/Hora)</v>
          </cell>
          <cell r="D42">
            <v>41.767556874024315</v>
          </cell>
          <cell r="E42">
            <v>0</v>
          </cell>
          <cell r="F42">
            <v>36.981382756791078</v>
          </cell>
          <cell r="G42">
            <v>0</v>
          </cell>
          <cell r="H42">
            <v>19.164908030335017</v>
          </cell>
          <cell r="I42">
            <v>0</v>
          </cell>
          <cell r="J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</row>
        <row r="43">
          <cell r="B43" t="str">
            <v>EQ12</v>
          </cell>
          <cell r="C43" t="str">
            <v>Quantidade</v>
          </cell>
          <cell r="E43">
            <v>1</v>
          </cell>
          <cell r="G43">
            <v>1</v>
          </cell>
          <cell r="H43">
            <v>1</v>
          </cell>
          <cell r="K43">
            <v>96.536544168274901</v>
          </cell>
          <cell r="L43">
            <v>0.08</v>
          </cell>
          <cell r="M43">
            <v>7.7229235334619926</v>
          </cell>
          <cell r="N43">
            <v>104.2594677017369</v>
          </cell>
          <cell r="AD43">
            <v>0</v>
          </cell>
          <cell r="AT43">
            <v>0</v>
          </cell>
          <cell r="AV43">
            <v>104.2594677017369</v>
          </cell>
        </row>
        <row r="44">
          <cell r="C44" t="str">
            <v>Custo Total (R$/Hora)</v>
          </cell>
          <cell r="D44">
            <v>0</v>
          </cell>
          <cell r="E44">
            <v>41.767556874024315</v>
          </cell>
          <cell r="F44">
            <v>0</v>
          </cell>
          <cell r="G44">
            <v>35.604079263915573</v>
          </cell>
          <cell r="H44">
            <v>19.164908030335017</v>
          </cell>
          <cell r="I44">
            <v>0</v>
          </cell>
          <cell r="J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B45" t="str">
            <v>EQ13</v>
          </cell>
          <cell r="C45" t="str">
            <v>Quantidade</v>
          </cell>
          <cell r="D45">
            <v>2</v>
          </cell>
          <cell r="F45">
            <v>4</v>
          </cell>
          <cell r="H45">
            <v>2</v>
          </cell>
          <cell r="K45">
            <v>269.79046083588298</v>
          </cell>
          <cell r="L45">
            <v>0.08</v>
          </cell>
          <cell r="M45">
            <v>21.583236866870639</v>
          </cell>
          <cell r="N45">
            <v>291.37369770275365</v>
          </cell>
          <cell r="P45">
            <v>2</v>
          </cell>
          <cell r="T45">
            <v>1</v>
          </cell>
          <cell r="AD45">
            <v>30.660353535353536</v>
          </cell>
          <cell r="AI45">
            <v>1</v>
          </cell>
          <cell r="AJ45">
            <v>1</v>
          </cell>
          <cell r="AK45">
            <v>1</v>
          </cell>
          <cell r="AN45">
            <v>1</v>
          </cell>
          <cell r="AO45">
            <v>1</v>
          </cell>
          <cell r="AT45">
            <v>106.31546442687747</v>
          </cell>
          <cell r="AV45">
            <v>428.34951566498466</v>
          </cell>
        </row>
        <row r="46">
          <cell r="C46" t="str">
            <v>Custo Total (R$/Hora)</v>
          </cell>
          <cell r="D46">
            <v>83.53511374804863</v>
          </cell>
          <cell r="E46">
            <v>0</v>
          </cell>
          <cell r="F46">
            <v>147.92553102716431</v>
          </cell>
          <cell r="G46">
            <v>0</v>
          </cell>
          <cell r="H46">
            <v>38.329816060670034</v>
          </cell>
          <cell r="I46">
            <v>0</v>
          </cell>
          <cell r="J46">
            <v>0</v>
          </cell>
          <cell r="O46">
            <v>0</v>
          </cell>
          <cell r="P46">
            <v>9.1755050505050502</v>
          </cell>
          <cell r="Q46">
            <v>0</v>
          </cell>
          <cell r="R46">
            <v>0</v>
          </cell>
          <cell r="S46">
            <v>0</v>
          </cell>
          <cell r="T46">
            <v>21.484848484848484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51.491820377689947</v>
          </cell>
          <cell r="AJ46">
            <v>9.9954710144927539</v>
          </cell>
          <cell r="AK46">
            <v>19.990942028985508</v>
          </cell>
          <cell r="AL46">
            <v>0</v>
          </cell>
          <cell r="AM46">
            <v>0</v>
          </cell>
          <cell r="AN46">
            <v>18.779369784804569</v>
          </cell>
          <cell r="AO46">
            <v>6.0578612209046998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B47" t="str">
            <v>EQ13_T</v>
          </cell>
          <cell r="C47" t="str">
            <v>Quantidade</v>
          </cell>
          <cell r="D47">
            <v>2</v>
          </cell>
          <cell r="F47">
            <v>4</v>
          </cell>
          <cell r="H47">
            <v>2</v>
          </cell>
          <cell r="K47">
            <v>337.23807604485376</v>
          </cell>
          <cell r="L47">
            <v>0.08</v>
          </cell>
          <cell r="M47">
            <v>26.979046083588301</v>
          </cell>
          <cell r="N47">
            <v>364.21712212844204</v>
          </cell>
          <cell r="P47">
            <v>2</v>
          </cell>
          <cell r="T47">
            <v>1</v>
          </cell>
          <cell r="AD47">
            <v>30.660353535353536</v>
          </cell>
          <cell r="AI47">
            <v>1</v>
          </cell>
          <cell r="AJ47">
            <v>1</v>
          </cell>
          <cell r="AK47">
            <v>1</v>
          </cell>
          <cell r="AN47">
            <v>1</v>
          </cell>
          <cell r="AO47">
            <v>1</v>
          </cell>
          <cell r="AT47">
            <v>106.31546442687747</v>
          </cell>
          <cell r="AV47">
            <v>501.19294009067301</v>
          </cell>
        </row>
        <row r="48">
          <cell r="C48" t="str">
            <v>Custo Total (R$/Hora)</v>
          </cell>
          <cell r="D48">
            <v>104.41889218506078</v>
          </cell>
          <cell r="E48">
            <v>0</v>
          </cell>
          <cell r="F48">
            <v>184.90691378395542</v>
          </cell>
          <cell r="G48">
            <v>0</v>
          </cell>
          <cell r="H48">
            <v>47.91227007583754</v>
          </cell>
          <cell r="I48">
            <v>0</v>
          </cell>
          <cell r="J48">
            <v>0</v>
          </cell>
          <cell r="O48">
            <v>0</v>
          </cell>
          <cell r="P48">
            <v>9.1755050505050502</v>
          </cell>
          <cell r="Q48">
            <v>0</v>
          </cell>
          <cell r="R48">
            <v>0</v>
          </cell>
          <cell r="S48">
            <v>0</v>
          </cell>
          <cell r="T48">
            <v>21.484848484848484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51.491820377689947</v>
          </cell>
          <cell r="AJ48">
            <v>9.9954710144927539</v>
          </cell>
          <cell r="AK48">
            <v>19.990942028985508</v>
          </cell>
          <cell r="AL48">
            <v>0</v>
          </cell>
          <cell r="AM48">
            <v>0</v>
          </cell>
          <cell r="AN48">
            <v>18.779369784804569</v>
          </cell>
          <cell r="AO48">
            <v>6.0578612209046998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</row>
        <row r="49">
          <cell r="B49" t="str">
            <v>EQ14</v>
          </cell>
          <cell r="C49" t="str">
            <v>Quantidade</v>
          </cell>
          <cell r="E49">
            <v>2</v>
          </cell>
          <cell r="G49">
            <v>4</v>
          </cell>
          <cell r="H49">
            <v>2</v>
          </cell>
          <cell r="K49">
            <v>264.28124686438099</v>
          </cell>
          <cell r="L49">
            <v>0.08</v>
          </cell>
          <cell r="M49">
            <v>21.142499749150481</v>
          </cell>
          <cell r="N49">
            <v>285.42374661353148</v>
          </cell>
          <cell r="P49">
            <v>2</v>
          </cell>
          <cell r="T49">
            <v>1</v>
          </cell>
          <cell r="AD49">
            <v>30.660353535353536</v>
          </cell>
          <cell r="AI49">
            <v>1</v>
          </cell>
          <cell r="AJ49">
            <v>1</v>
          </cell>
          <cell r="AK49">
            <v>1</v>
          </cell>
          <cell r="AN49">
            <v>1</v>
          </cell>
          <cell r="AO49">
            <v>1</v>
          </cell>
          <cell r="AT49">
            <v>106.31546442687747</v>
          </cell>
          <cell r="AV49">
            <v>422.3995645757625</v>
          </cell>
        </row>
        <row r="50">
          <cell r="C50" t="str">
            <v>Custo Total (R$/Hora)</v>
          </cell>
          <cell r="D50">
            <v>0</v>
          </cell>
          <cell r="E50">
            <v>83.53511374804863</v>
          </cell>
          <cell r="F50">
            <v>0</v>
          </cell>
          <cell r="G50">
            <v>142.41631705566229</v>
          </cell>
          <cell r="H50">
            <v>38.329816060670034</v>
          </cell>
          <cell r="I50">
            <v>0</v>
          </cell>
          <cell r="J50">
            <v>0</v>
          </cell>
          <cell r="O50">
            <v>0</v>
          </cell>
          <cell r="P50">
            <v>9.1755050505050502</v>
          </cell>
          <cell r="Q50">
            <v>0</v>
          </cell>
          <cell r="R50">
            <v>0</v>
          </cell>
          <cell r="S50">
            <v>0</v>
          </cell>
          <cell r="T50">
            <v>21.484848484848484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51.491820377689947</v>
          </cell>
          <cell r="AJ50">
            <v>9.9954710144927539</v>
          </cell>
          <cell r="AK50">
            <v>19.990942028985508</v>
          </cell>
          <cell r="AL50">
            <v>0</v>
          </cell>
          <cell r="AM50">
            <v>0</v>
          </cell>
          <cell r="AN50">
            <v>18.779369784804569</v>
          </cell>
          <cell r="AO50">
            <v>6.0578612209046998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B51" t="str">
            <v>EQ14_T</v>
          </cell>
          <cell r="C51" t="str">
            <v>Quantidade</v>
          </cell>
          <cell r="E51">
            <v>2</v>
          </cell>
          <cell r="G51">
            <v>4</v>
          </cell>
          <cell r="H51">
            <v>2</v>
          </cell>
          <cell r="K51">
            <v>330.35155858047619</v>
          </cell>
          <cell r="L51">
            <v>0.08</v>
          </cell>
          <cell r="M51">
            <v>26.428124686438096</v>
          </cell>
          <cell r="N51">
            <v>356.77968326691428</v>
          </cell>
          <cell r="P51">
            <v>2</v>
          </cell>
          <cell r="T51">
            <v>1</v>
          </cell>
          <cell r="AD51">
            <v>30.660353535353536</v>
          </cell>
          <cell r="AI51">
            <v>1</v>
          </cell>
          <cell r="AJ51">
            <v>1</v>
          </cell>
          <cell r="AK51">
            <v>1</v>
          </cell>
          <cell r="AN51">
            <v>1</v>
          </cell>
          <cell r="AO51">
            <v>1</v>
          </cell>
          <cell r="AT51">
            <v>106.31546442687747</v>
          </cell>
          <cell r="AV51">
            <v>493.75550122914524</v>
          </cell>
        </row>
        <row r="52">
          <cell r="C52" t="str">
            <v>Custo Total (R$/Hora)</v>
          </cell>
          <cell r="D52">
            <v>0</v>
          </cell>
          <cell r="E52">
            <v>104.41889218506078</v>
          </cell>
          <cell r="F52">
            <v>0</v>
          </cell>
          <cell r="G52">
            <v>178.02039631957786</v>
          </cell>
          <cell r="H52">
            <v>47.91227007583754</v>
          </cell>
          <cell r="I52">
            <v>0</v>
          </cell>
          <cell r="J52">
            <v>0</v>
          </cell>
          <cell r="O52">
            <v>0</v>
          </cell>
          <cell r="P52">
            <v>9.1755050505050502</v>
          </cell>
          <cell r="Q52">
            <v>0</v>
          </cell>
          <cell r="R52">
            <v>0</v>
          </cell>
          <cell r="S52">
            <v>0</v>
          </cell>
          <cell r="T52">
            <v>21.484848484848484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51.491820377689947</v>
          </cell>
          <cell r="AJ52">
            <v>9.9954710144927539</v>
          </cell>
          <cell r="AK52">
            <v>19.990942028985508</v>
          </cell>
          <cell r="AL52">
            <v>0</v>
          </cell>
          <cell r="AM52">
            <v>0</v>
          </cell>
          <cell r="AN52">
            <v>18.779369784804569</v>
          </cell>
          <cell r="AO52">
            <v>6.0578612209046998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B53" t="str">
            <v>EQ15</v>
          </cell>
          <cell r="C53" t="str">
            <v>Quantidade</v>
          </cell>
          <cell r="F53">
            <v>1</v>
          </cell>
          <cell r="H53">
            <v>1</v>
          </cell>
          <cell r="K53">
            <v>56.146290787126091</v>
          </cell>
          <cell r="L53">
            <v>0.08</v>
          </cell>
          <cell r="M53">
            <v>4.4917032629700877</v>
          </cell>
          <cell r="N53">
            <v>60.637994050096182</v>
          </cell>
          <cell r="R53">
            <v>1</v>
          </cell>
          <cell r="W53">
            <v>1</v>
          </cell>
          <cell r="AD53">
            <v>7.7760555555555557</v>
          </cell>
          <cell r="AT53">
            <v>0</v>
          </cell>
          <cell r="AV53">
            <v>68.414049605651741</v>
          </cell>
        </row>
        <row r="54">
          <cell r="C54" t="str">
            <v>Custo Total (R$/Hora)</v>
          </cell>
          <cell r="D54">
            <v>0</v>
          </cell>
          <cell r="E54">
            <v>0</v>
          </cell>
          <cell r="F54">
            <v>36.981382756791078</v>
          </cell>
          <cell r="G54">
            <v>0</v>
          </cell>
          <cell r="H54">
            <v>19.164908030335017</v>
          </cell>
          <cell r="I54">
            <v>0</v>
          </cell>
          <cell r="J54">
            <v>0</v>
          </cell>
          <cell r="O54">
            <v>0</v>
          </cell>
          <cell r="P54">
            <v>0</v>
          </cell>
          <cell r="Q54">
            <v>0</v>
          </cell>
          <cell r="R54">
            <v>6.7662878787878791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1.0097676767676769</v>
          </cell>
          <cell r="X54">
            <v>0</v>
          </cell>
          <cell r="Y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B55" t="str">
            <v>EQ16</v>
          </cell>
          <cell r="C55" t="str">
            <v>Quantidade</v>
          </cell>
          <cell r="G55">
            <v>1</v>
          </cell>
          <cell r="H55">
            <v>1</v>
          </cell>
          <cell r="K55">
            <v>54.768987294250593</v>
          </cell>
          <cell r="L55">
            <v>0.08</v>
          </cell>
          <cell r="M55">
            <v>4.3815189835400474</v>
          </cell>
          <cell r="N55">
            <v>59.15050627779064</v>
          </cell>
          <cell r="R55">
            <v>1</v>
          </cell>
          <cell r="W55">
            <v>1</v>
          </cell>
          <cell r="AD55">
            <v>7.7760555555555557</v>
          </cell>
          <cell r="AT55">
            <v>0</v>
          </cell>
          <cell r="AV55">
            <v>66.926561833346199</v>
          </cell>
        </row>
        <row r="56">
          <cell r="C56" t="str">
            <v>Custo Total (R$/Hora)</v>
          </cell>
          <cell r="D56">
            <v>0</v>
          </cell>
          <cell r="E56">
            <v>0</v>
          </cell>
          <cell r="F56">
            <v>0</v>
          </cell>
          <cell r="G56">
            <v>35.604079263915573</v>
          </cell>
          <cell r="H56">
            <v>19.164908030335017</v>
          </cell>
          <cell r="I56">
            <v>0</v>
          </cell>
          <cell r="J56">
            <v>0</v>
          </cell>
          <cell r="O56">
            <v>0</v>
          </cell>
          <cell r="P56">
            <v>0</v>
          </cell>
          <cell r="Q56">
            <v>0</v>
          </cell>
          <cell r="R56">
            <v>6.7662878787878791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1.0097676767676769</v>
          </cell>
          <cell r="X56">
            <v>0</v>
          </cell>
          <cell r="Y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B57" t="str">
            <v>EQ17</v>
          </cell>
          <cell r="C57" t="str">
            <v>Quantidade</v>
          </cell>
          <cell r="F57">
            <v>2</v>
          </cell>
          <cell r="H57">
            <v>1</v>
          </cell>
          <cell r="K57">
            <v>93.127673543917169</v>
          </cell>
          <cell r="L57">
            <v>0.08</v>
          </cell>
          <cell r="M57">
            <v>7.4502138835133733</v>
          </cell>
          <cell r="N57">
            <v>100.57788742743054</v>
          </cell>
          <cell r="Q57">
            <v>1</v>
          </cell>
          <cell r="AD57">
            <v>5.955303030303031</v>
          </cell>
          <cell r="AG57">
            <v>1</v>
          </cell>
          <cell r="AT57">
            <v>24.231444883618799</v>
          </cell>
          <cell r="AV57">
            <v>130.76463534135237</v>
          </cell>
        </row>
        <row r="58">
          <cell r="C58" t="str">
            <v>Custo Total (R$/Hora)</v>
          </cell>
          <cell r="D58">
            <v>0</v>
          </cell>
          <cell r="E58">
            <v>0</v>
          </cell>
          <cell r="F58">
            <v>73.962765513582156</v>
          </cell>
          <cell r="G58">
            <v>0</v>
          </cell>
          <cell r="H58">
            <v>19.164908030335017</v>
          </cell>
          <cell r="I58">
            <v>0</v>
          </cell>
          <cell r="J58">
            <v>0</v>
          </cell>
          <cell r="O58">
            <v>0</v>
          </cell>
          <cell r="P58">
            <v>0</v>
          </cell>
          <cell r="Q58">
            <v>5.955303030303031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24.231444883618799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B59" t="str">
            <v>EQ17_T</v>
          </cell>
          <cell r="C59" t="str">
            <v>Quantidade</v>
          </cell>
          <cell r="F59">
            <v>2</v>
          </cell>
          <cell r="H59">
            <v>1</v>
          </cell>
          <cell r="K59">
            <v>116.40959192989648</v>
          </cell>
          <cell r="L59">
            <v>0.08</v>
          </cell>
          <cell r="M59">
            <v>9.3127673543917187</v>
          </cell>
          <cell r="N59">
            <v>125.7223592842882</v>
          </cell>
          <cell r="Q59">
            <v>1</v>
          </cell>
          <cell r="AD59">
            <v>5.955303030303031</v>
          </cell>
          <cell r="AG59">
            <v>1</v>
          </cell>
          <cell r="AT59">
            <v>24.231444883618799</v>
          </cell>
          <cell r="AV59">
            <v>155.90910719821002</v>
          </cell>
        </row>
        <row r="60">
          <cell r="C60" t="str">
            <v>Custo Total (R$/Hora)</v>
          </cell>
          <cell r="D60">
            <v>0</v>
          </cell>
          <cell r="E60">
            <v>0</v>
          </cell>
          <cell r="F60">
            <v>92.453456891977709</v>
          </cell>
          <cell r="G60">
            <v>0</v>
          </cell>
          <cell r="H60">
            <v>23.95613503791877</v>
          </cell>
          <cell r="I60">
            <v>0</v>
          </cell>
          <cell r="J60">
            <v>0</v>
          </cell>
          <cell r="O60">
            <v>0</v>
          </cell>
          <cell r="P60">
            <v>0</v>
          </cell>
          <cell r="Q60">
            <v>5.955303030303031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24.231444883618799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</row>
        <row r="61">
          <cell r="B61" t="str">
            <v>EQ18</v>
          </cell>
          <cell r="C61" t="str">
            <v>Quantidade</v>
          </cell>
          <cell r="G61">
            <v>1</v>
          </cell>
          <cell r="H61">
            <v>1</v>
          </cell>
          <cell r="K61">
            <v>54.768987294250593</v>
          </cell>
          <cell r="L61">
            <v>0.08</v>
          </cell>
          <cell r="M61">
            <v>4.3815189835400474</v>
          </cell>
          <cell r="N61">
            <v>59.15050627779064</v>
          </cell>
          <cell r="S61">
            <v>1</v>
          </cell>
          <cell r="AD61">
            <v>12.267676767676768</v>
          </cell>
          <cell r="AT61">
            <v>0</v>
          </cell>
          <cell r="AV61">
            <v>71.418183045467401</v>
          </cell>
        </row>
        <row r="62">
          <cell r="C62" t="str">
            <v>Custo Total (R$/Hora)</v>
          </cell>
          <cell r="D62">
            <v>0</v>
          </cell>
          <cell r="E62">
            <v>0</v>
          </cell>
          <cell r="F62">
            <v>0</v>
          </cell>
          <cell r="G62">
            <v>35.604079263915573</v>
          </cell>
          <cell r="H62">
            <v>19.164908030335017</v>
          </cell>
          <cell r="I62">
            <v>0</v>
          </cell>
          <cell r="J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12.267676767676768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</row>
        <row r="63">
          <cell r="B63" t="str">
            <v>EQ19</v>
          </cell>
          <cell r="C63" t="str">
            <v>Quantidade</v>
          </cell>
          <cell r="G63">
            <v>1</v>
          </cell>
          <cell r="H63">
            <v>1</v>
          </cell>
          <cell r="K63">
            <v>54.768987294250593</v>
          </cell>
          <cell r="L63">
            <v>0.08</v>
          </cell>
          <cell r="M63">
            <v>4.3815189835400474</v>
          </cell>
          <cell r="N63">
            <v>59.15050627779064</v>
          </cell>
          <cell r="AD63">
            <v>0</v>
          </cell>
          <cell r="AP63">
            <v>1</v>
          </cell>
          <cell r="AQ63">
            <v>1</v>
          </cell>
          <cell r="AT63">
            <v>29.683519982433026</v>
          </cell>
          <cell r="AV63">
            <v>88.834026260223666</v>
          </cell>
        </row>
        <row r="64">
          <cell r="C64" t="str">
            <v>Custo Total (R$/Hora)</v>
          </cell>
          <cell r="D64">
            <v>0</v>
          </cell>
          <cell r="E64">
            <v>0</v>
          </cell>
          <cell r="F64">
            <v>0</v>
          </cell>
          <cell r="G64">
            <v>35.604079263915573</v>
          </cell>
          <cell r="H64">
            <v>19.164908030335017</v>
          </cell>
          <cell r="I64">
            <v>0</v>
          </cell>
          <cell r="J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18.173583662714098</v>
          </cell>
          <cell r="AQ64">
            <v>11.509936319718928</v>
          </cell>
          <cell r="AR64">
            <v>0</v>
          </cell>
          <cell r="AS64">
            <v>0</v>
          </cell>
        </row>
        <row r="65">
          <cell r="B65" t="str">
            <v>EQ19_T</v>
          </cell>
          <cell r="C65" t="str">
            <v>Quantidade</v>
          </cell>
          <cell r="G65">
            <v>1</v>
          </cell>
          <cell r="H65">
            <v>1</v>
          </cell>
          <cell r="K65">
            <v>68.461234117813234</v>
          </cell>
          <cell r="L65">
            <v>0.08</v>
          </cell>
          <cell r="M65">
            <v>5.4768987294250584</v>
          </cell>
          <cell r="N65">
            <v>73.938132847238293</v>
          </cell>
          <cell r="AD65">
            <v>0</v>
          </cell>
          <cell r="AP65">
            <v>1</v>
          </cell>
          <cell r="AQ65">
            <v>1</v>
          </cell>
          <cell r="AT65">
            <v>29.683519982433026</v>
          </cell>
          <cell r="AV65">
            <v>103.62165282967132</v>
          </cell>
        </row>
        <row r="66">
          <cell r="C66" t="str">
            <v>Custo Total (R$/Hora)</v>
          </cell>
          <cell r="D66">
            <v>0</v>
          </cell>
          <cell r="E66">
            <v>0</v>
          </cell>
          <cell r="F66">
            <v>0</v>
          </cell>
          <cell r="G66">
            <v>44.505099079894464</v>
          </cell>
          <cell r="H66">
            <v>23.95613503791877</v>
          </cell>
          <cell r="I66">
            <v>0</v>
          </cell>
          <cell r="J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18.173583662714098</v>
          </cell>
          <cell r="AQ66">
            <v>11.509936319718928</v>
          </cell>
          <cell r="AR66">
            <v>0</v>
          </cell>
          <cell r="AS66">
            <v>0</v>
          </cell>
        </row>
        <row r="67">
          <cell r="B67" t="str">
            <v>EQ20</v>
          </cell>
          <cell r="C67" t="str">
            <v>Quantidade</v>
          </cell>
          <cell r="K67">
            <v>0</v>
          </cell>
          <cell r="L67">
            <v>0.08</v>
          </cell>
          <cell r="M67">
            <v>0</v>
          </cell>
          <cell r="N67">
            <v>0</v>
          </cell>
          <cell r="AD67">
            <v>0</v>
          </cell>
          <cell r="AT67">
            <v>0</v>
          </cell>
          <cell r="AV67">
            <v>0</v>
          </cell>
        </row>
        <row r="68">
          <cell r="C68" t="str">
            <v>Custo Total (R$/Hora)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B69" t="str">
            <v>EQ21</v>
          </cell>
          <cell r="C69" t="str">
            <v>Quantidade</v>
          </cell>
          <cell r="G69">
            <v>1</v>
          </cell>
          <cell r="H69">
            <v>1</v>
          </cell>
          <cell r="K69">
            <v>54.768987294250593</v>
          </cell>
          <cell r="L69">
            <v>0.08</v>
          </cell>
          <cell r="M69">
            <v>4.3815189835400474</v>
          </cell>
          <cell r="N69">
            <v>59.15050627779064</v>
          </cell>
          <cell r="T69">
            <v>1</v>
          </cell>
          <cell r="AD69">
            <v>21.484848484848484</v>
          </cell>
          <cell r="AR69">
            <v>1</v>
          </cell>
          <cell r="AT69">
            <v>3.0289306104523499</v>
          </cell>
          <cell r="AV69">
            <v>83.664285373091474</v>
          </cell>
        </row>
        <row r="70">
          <cell r="C70" t="str">
            <v>Custo Total (R$/Hora)</v>
          </cell>
          <cell r="D70">
            <v>0</v>
          </cell>
          <cell r="E70">
            <v>0</v>
          </cell>
          <cell r="F70">
            <v>0</v>
          </cell>
          <cell r="G70">
            <v>35.604079263915573</v>
          </cell>
          <cell r="H70">
            <v>19.164908030335017</v>
          </cell>
          <cell r="I70">
            <v>0</v>
          </cell>
          <cell r="J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21.484848484848484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3.0289306104523499</v>
          </cell>
          <cell r="AS70">
            <v>0</v>
          </cell>
        </row>
        <row r="71">
          <cell r="B71" t="str">
            <v>EQ22</v>
          </cell>
          <cell r="C71" t="str">
            <v>Quantidade</v>
          </cell>
          <cell r="G71">
            <v>1</v>
          </cell>
          <cell r="H71">
            <v>2</v>
          </cell>
          <cell r="K71">
            <v>73.933895324585606</v>
          </cell>
          <cell r="L71">
            <v>0.08</v>
          </cell>
          <cell r="M71">
            <v>5.9147116259668486</v>
          </cell>
          <cell r="N71">
            <v>79.848606950552451</v>
          </cell>
          <cell r="T71">
            <v>1</v>
          </cell>
          <cell r="AD71">
            <v>21.484848484848484</v>
          </cell>
          <cell r="AN71">
            <v>1</v>
          </cell>
          <cell r="AT71">
            <v>18.779369784804569</v>
          </cell>
          <cell r="AV71">
            <v>120.11282522020551</v>
          </cell>
        </row>
        <row r="72">
          <cell r="C72" t="str">
            <v>Custo Total (R$/Hora)</v>
          </cell>
          <cell r="D72">
            <v>0</v>
          </cell>
          <cell r="E72">
            <v>0</v>
          </cell>
          <cell r="F72">
            <v>0</v>
          </cell>
          <cell r="G72">
            <v>35.604079263915573</v>
          </cell>
          <cell r="H72">
            <v>38.329816060670034</v>
          </cell>
          <cell r="I72">
            <v>0</v>
          </cell>
          <cell r="J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21.484848484848484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18.779369784804569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</row>
        <row r="73">
          <cell r="B73" t="str">
            <v>EQ22_T</v>
          </cell>
          <cell r="C73" t="str">
            <v>Quantidade</v>
          </cell>
          <cell r="G73">
            <v>1</v>
          </cell>
          <cell r="H73">
            <v>2</v>
          </cell>
          <cell r="K73">
            <v>92.417369155732004</v>
          </cell>
          <cell r="L73">
            <v>0.08</v>
          </cell>
          <cell r="M73">
            <v>7.3933895324585608</v>
          </cell>
          <cell r="N73">
            <v>99.81075868819056</v>
          </cell>
          <cell r="T73">
            <v>1</v>
          </cell>
          <cell r="AD73">
            <v>21.484848484848484</v>
          </cell>
          <cell r="AN73">
            <v>1</v>
          </cell>
          <cell r="AT73">
            <v>18.779369784804569</v>
          </cell>
          <cell r="AV73">
            <v>140.0749769578436</v>
          </cell>
        </row>
        <row r="74">
          <cell r="C74" t="str">
            <v>Custo Total (R$/Hora)</v>
          </cell>
          <cell r="D74">
            <v>0</v>
          </cell>
          <cell r="E74">
            <v>0</v>
          </cell>
          <cell r="F74">
            <v>0</v>
          </cell>
          <cell r="G74">
            <v>44.505099079894464</v>
          </cell>
          <cell r="H74">
            <v>47.91227007583754</v>
          </cell>
          <cell r="I74">
            <v>0</v>
          </cell>
          <cell r="J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21.484848484848484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18.779369784804569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</row>
        <row r="75">
          <cell r="B75" t="str">
            <v>EQ23</v>
          </cell>
          <cell r="C75" t="str">
            <v>Quantidade</v>
          </cell>
          <cell r="F75">
            <v>2</v>
          </cell>
          <cell r="H75">
            <v>1</v>
          </cell>
          <cell r="K75">
            <v>93.127673543917169</v>
          </cell>
          <cell r="L75">
            <v>0.08</v>
          </cell>
          <cell r="M75">
            <v>7.4502138835133733</v>
          </cell>
          <cell r="N75">
            <v>100.57788742743054</v>
          </cell>
          <cell r="T75">
            <v>1</v>
          </cell>
          <cell r="AD75">
            <v>21.484848484848484</v>
          </cell>
          <cell r="AG75">
            <v>1</v>
          </cell>
          <cell r="AT75">
            <v>24.231444883618799</v>
          </cell>
          <cell r="AV75">
            <v>146.29418079589783</v>
          </cell>
        </row>
        <row r="76">
          <cell r="C76" t="str">
            <v>Custo Total (R$/Hora)</v>
          </cell>
          <cell r="D76">
            <v>0</v>
          </cell>
          <cell r="E76">
            <v>0</v>
          </cell>
          <cell r="F76">
            <v>73.962765513582156</v>
          </cell>
          <cell r="G76">
            <v>0</v>
          </cell>
          <cell r="H76">
            <v>19.164908030335017</v>
          </cell>
          <cell r="I76">
            <v>0</v>
          </cell>
          <cell r="J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21.484848484848484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24.231444883618799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</row>
        <row r="77">
          <cell r="B77" t="str">
            <v>EQ23_T</v>
          </cell>
          <cell r="C77" t="str">
            <v>Quantidade</v>
          </cell>
          <cell r="F77">
            <v>2</v>
          </cell>
          <cell r="H77">
            <v>1</v>
          </cell>
          <cell r="K77">
            <v>116.40959192989648</v>
          </cell>
          <cell r="L77">
            <v>0.08</v>
          </cell>
          <cell r="M77">
            <v>9.3127673543917187</v>
          </cell>
          <cell r="N77">
            <v>125.7223592842882</v>
          </cell>
          <cell r="T77">
            <v>1</v>
          </cell>
          <cell r="AD77">
            <v>21.484848484848484</v>
          </cell>
          <cell r="AG77">
            <v>1</v>
          </cell>
          <cell r="AT77">
            <v>24.231444883618799</v>
          </cell>
          <cell r="AV77">
            <v>171.43865265275548</v>
          </cell>
        </row>
        <row r="78">
          <cell r="C78" t="str">
            <v>Custo Total (R$/Hora)</v>
          </cell>
          <cell r="D78">
            <v>0</v>
          </cell>
          <cell r="E78">
            <v>0</v>
          </cell>
          <cell r="F78">
            <v>92.453456891977709</v>
          </cell>
          <cell r="G78">
            <v>0</v>
          </cell>
          <cell r="H78">
            <v>23.95613503791877</v>
          </cell>
          <cell r="I78">
            <v>0</v>
          </cell>
          <cell r="J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21.484848484848484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24.231444883618799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</row>
        <row r="79">
          <cell r="B79" t="str">
            <v>EQ24</v>
          </cell>
          <cell r="C79" t="str">
            <v>Quantidade</v>
          </cell>
          <cell r="G79">
            <v>1</v>
          </cell>
          <cell r="H79">
            <v>1</v>
          </cell>
          <cell r="K79">
            <v>54.768987294250593</v>
          </cell>
          <cell r="L79">
            <v>0.08</v>
          </cell>
          <cell r="M79">
            <v>4.3815189835400474</v>
          </cell>
          <cell r="N79">
            <v>59.15050627779064</v>
          </cell>
          <cell r="R79">
            <v>1</v>
          </cell>
          <cell r="AD79">
            <v>6.7662878787878791</v>
          </cell>
          <cell r="AT79">
            <v>0</v>
          </cell>
          <cell r="AV79">
            <v>65.916794156578518</v>
          </cell>
        </row>
        <row r="80">
          <cell r="C80" t="str">
            <v>Custo Total (R$/Hora)</v>
          </cell>
          <cell r="D80">
            <v>0</v>
          </cell>
          <cell r="E80">
            <v>0</v>
          </cell>
          <cell r="F80">
            <v>0</v>
          </cell>
          <cell r="G80">
            <v>35.604079263915573</v>
          </cell>
          <cell r="H80">
            <v>19.164908030335017</v>
          </cell>
          <cell r="I80">
            <v>0</v>
          </cell>
          <cell r="J80">
            <v>0</v>
          </cell>
          <cell r="O80">
            <v>0</v>
          </cell>
          <cell r="P80">
            <v>0</v>
          </cell>
          <cell r="Q80">
            <v>0</v>
          </cell>
          <cell r="R80">
            <v>6.7662878787878791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</row>
        <row r="81">
          <cell r="B81" t="str">
            <v>EQ24_T</v>
          </cell>
          <cell r="C81" t="str">
            <v>Quantidade</v>
          </cell>
          <cell r="G81">
            <v>1</v>
          </cell>
          <cell r="H81">
            <v>1</v>
          </cell>
          <cell r="K81">
            <v>68.461234117813234</v>
          </cell>
          <cell r="L81">
            <v>0.08</v>
          </cell>
          <cell r="M81">
            <v>5.4768987294250584</v>
          </cell>
          <cell r="N81">
            <v>73.938132847238293</v>
          </cell>
          <cell r="R81">
            <v>1</v>
          </cell>
          <cell r="AD81">
            <v>6.7662878787878791</v>
          </cell>
          <cell r="AT81">
            <v>0</v>
          </cell>
          <cell r="AV81">
            <v>80.704420726026171</v>
          </cell>
        </row>
        <row r="82">
          <cell r="C82" t="str">
            <v>Custo Total (R$/Hora)</v>
          </cell>
          <cell r="D82">
            <v>0</v>
          </cell>
          <cell r="E82">
            <v>0</v>
          </cell>
          <cell r="F82">
            <v>0</v>
          </cell>
          <cell r="G82">
            <v>44.505099079894464</v>
          </cell>
          <cell r="H82">
            <v>23.95613503791877</v>
          </cell>
          <cell r="I82">
            <v>0</v>
          </cell>
          <cell r="J82">
            <v>0</v>
          </cell>
          <cell r="O82">
            <v>0</v>
          </cell>
          <cell r="P82">
            <v>0</v>
          </cell>
          <cell r="Q82">
            <v>0</v>
          </cell>
          <cell r="R82">
            <v>6.7662878787878791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</row>
        <row r="83">
          <cell r="B83" t="str">
            <v>EQ25</v>
          </cell>
          <cell r="C83" t="str">
            <v>Quantidade</v>
          </cell>
          <cell r="I83">
            <v>1</v>
          </cell>
          <cell r="J83">
            <v>1</v>
          </cell>
          <cell r="K83">
            <v>162.29119215228502</v>
          </cell>
          <cell r="L83">
            <v>0.15</v>
          </cell>
          <cell r="M83">
            <v>24.343678822842751</v>
          </cell>
          <cell r="N83">
            <v>186.63487097512777</v>
          </cell>
          <cell r="P83">
            <v>1</v>
          </cell>
          <cell r="Q83">
            <v>1</v>
          </cell>
          <cell r="T83">
            <v>1</v>
          </cell>
          <cell r="U83">
            <v>1</v>
          </cell>
          <cell r="AD83">
            <v>43.080631313131313</v>
          </cell>
          <cell r="AG83">
            <v>1</v>
          </cell>
          <cell r="AT83">
            <v>24.231444883618799</v>
          </cell>
          <cell r="AV83">
            <v>253.94694717187787</v>
          </cell>
        </row>
        <row r="84">
          <cell r="C84" t="str">
            <v>Custo Total (R$/Hora)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63.933948941063235</v>
          </cell>
          <cell r="J84">
            <v>98.357243211221771</v>
          </cell>
          <cell r="O84">
            <v>0</v>
          </cell>
          <cell r="P84">
            <v>4.5877525252525251</v>
          </cell>
          <cell r="Q84">
            <v>5.955303030303031</v>
          </cell>
          <cell r="R84">
            <v>0</v>
          </cell>
          <cell r="S84">
            <v>0</v>
          </cell>
          <cell r="T84">
            <v>21.484848484848484</v>
          </cell>
          <cell r="U84">
            <v>11.052727272727273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24.231444883618799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</row>
        <row r="85">
          <cell r="B85" t="str">
            <v>EQ26</v>
          </cell>
          <cell r="C85" t="str">
            <v>Quantidade</v>
          </cell>
          <cell r="G85">
            <v>1</v>
          </cell>
          <cell r="H85">
            <v>1</v>
          </cell>
          <cell r="K85">
            <v>54.768987294250593</v>
          </cell>
          <cell r="L85">
            <v>0.08</v>
          </cell>
          <cell r="M85">
            <v>4.3815189835400474</v>
          </cell>
          <cell r="N85">
            <v>59.15050627779064</v>
          </cell>
          <cell r="Z85">
            <v>1</v>
          </cell>
          <cell r="AD85">
            <v>45.719191919191914</v>
          </cell>
          <cell r="AT85">
            <v>0</v>
          </cell>
          <cell r="AV85">
            <v>104.86969819698255</v>
          </cell>
        </row>
        <row r="86">
          <cell r="C86" t="str">
            <v>Custo Total (R$/Hora)</v>
          </cell>
          <cell r="D86">
            <v>0</v>
          </cell>
          <cell r="E86">
            <v>0</v>
          </cell>
          <cell r="F86">
            <v>0</v>
          </cell>
          <cell r="G86">
            <v>35.604079263915573</v>
          </cell>
          <cell r="H86">
            <v>19.164908030335017</v>
          </cell>
          <cell r="I86">
            <v>0</v>
          </cell>
          <cell r="J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45.719191919191914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</row>
        <row r="87">
          <cell r="B87" t="str">
            <v>EQ26_T</v>
          </cell>
          <cell r="C87" t="str">
            <v>Quantidade</v>
          </cell>
          <cell r="G87">
            <v>1</v>
          </cell>
          <cell r="H87">
            <v>1</v>
          </cell>
          <cell r="K87">
            <v>68.461234117813234</v>
          </cell>
          <cell r="L87">
            <v>0.08</v>
          </cell>
          <cell r="M87">
            <v>5.4768987294250584</v>
          </cell>
          <cell r="N87">
            <v>73.938132847238293</v>
          </cell>
          <cell r="Z87">
            <v>1</v>
          </cell>
          <cell r="AD87">
            <v>45.719191919191914</v>
          </cell>
          <cell r="AT87">
            <v>0</v>
          </cell>
          <cell r="AV87">
            <v>119.65732476643021</v>
          </cell>
        </row>
        <row r="88">
          <cell r="C88" t="str">
            <v>Custo Total (R$/Hora)</v>
          </cell>
          <cell r="D88">
            <v>0</v>
          </cell>
          <cell r="E88">
            <v>0</v>
          </cell>
          <cell r="F88">
            <v>0</v>
          </cell>
          <cell r="G88">
            <v>44.505099079894464</v>
          </cell>
          <cell r="H88">
            <v>23.95613503791877</v>
          </cell>
          <cell r="I88">
            <v>0</v>
          </cell>
          <cell r="J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45.719191919191914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</row>
        <row r="89">
          <cell r="B89" t="str">
            <v>EQ27</v>
          </cell>
          <cell r="C89" t="str">
            <v>Quantidade</v>
          </cell>
          <cell r="G89">
            <v>2</v>
          </cell>
          <cell r="H89">
            <v>2</v>
          </cell>
          <cell r="K89">
            <v>109.53797458850119</v>
          </cell>
          <cell r="L89">
            <v>0.08</v>
          </cell>
          <cell r="M89">
            <v>8.7630379670800949</v>
          </cell>
          <cell r="N89">
            <v>118.30101255558128</v>
          </cell>
          <cell r="S89">
            <v>1</v>
          </cell>
          <cell r="AD89">
            <v>12.267676767676768</v>
          </cell>
          <cell r="AJ89">
            <v>1</v>
          </cell>
          <cell r="AN89">
            <v>1</v>
          </cell>
          <cell r="AT89">
            <v>28.774840799297323</v>
          </cell>
          <cell r="AV89">
            <v>159.34353012255536</v>
          </cell>
        </row>
        <row r="90">
          <cell r="C90" t="str">
            <v>Custo Total (R$/Hora)</v>
          </cell>
          <cell r="D90">
            <v>0</v>
          </cell>
          <cell r="E90">
            <v>0</v>
          </cell>
          <cell r="F90">
            <v>0</v>
          </cell>
          <cell r="G90">
            <v>71.208158527831145</v>
          </cell>
          <cell r="H90">
            <v>38.329816060670034</v>
          </cell>
          <cell r="I90">
            <v>0</v>
          </cell>
          <cell r="J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12.267676767676768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9.9954710144927539</v>
          </cell>
          <cell r="AK90">
            <v>0</v>
          </cell>
          <cell r="AL90">
            <v>0</v>
          </cell>
          <cell r="AM90">
            <v>0</v>
          </cell>
          <cell r="AN90">
            <v>18.779369784804569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</row>
        <row r="91">
          <cell r="B91" t="str">
            <v>EQ27_T</v>
          </cell>
          <cell r="C91" t="str">
            <v>Quantidade</v>
          </cell>
          <cell r="G91">
            <v>2</v>
          </cell>
          <cell r="H91">
            <v>2</v>
          </cell>
          <cell r="K91">
            <v>136.92246823562647</v>
          </cell>
          <cell r="L91">
            <v>0.08</v>
          </cell>
          <cell r="M91">
            <v>10.953797458850117</v>
          </cell>
          <cell r="N91">
            <v>147.87626569447659</v>
          </cell>
          <cell r="S91">
            <v>1</v>
          </cell>
          <cell r="AD91">
            <v>12.267676767676768</v>
          </cell>
          <cell r="AJ91">
            <v>1</v>
          </cell>
          <cell r="AN91">
            <v>1</v>
          </cell>
          <cell r="AT91">
            <v>28.774840799297323</v>
          </cell>
          <cell r="AV91">
            <v>188.91878326145067</v>
          </cell>
        </row>
        <row r="92">
          <cell r="C92" t="str">
            <v>Custo Total (R$/Hora)</v>
          </cell>
          <cell r="D92">
            <v>0</v>
          </cell>
          <cell r="E92">
            <v>0</v>
          </cell>
          <cell r="F92">
            <v>0</v>
          </cell>
          <cell r="G92">
            <v>89.010198159788928</v>
          </cell>
          <cell r="H92">
            <v>47.91227007583754</v>
          </cell>
          <cell r="I92">
            <v>0</v>
          </cell>
          <cell r="J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12.267676767676768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9.9954710144927539</v>
          </cell>
          <cell r="AK92">
            <v>0</v>
          </cell>
          <cell r="AL92">
            <v>0</v>
          </cell>
          <cell r="AM92">
            <v>0</v>
          </cell>
          <cell r="AN92">
            <v>18.779369784804569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</row>
        <row r="93">
          <cell r="B93" t="str">
            <v>EQ28</v>
          </cell>
          <cell r="C93" t="str">
            <v>Quantidade</v>
          </cell>
          <cell r="F93">
            <v>1</v>
          </cell>
          <cell r="H93">
            <v>1</v>
          </cell>
          <cell r="K93">
            <v>56.146290787126091</v>
          </cell>
          <cell r="L93">
            <v>0.08</v>
          </cell>
          <cell r="M93">
            <v>4.4917032629700877</v>
          </cell>
          <cell r="N93">
            <v>60.637994050096182</v>
          </cell>
          <cell r="P93">
            <v>1</v>
          </cell>
          <cell r="AD93">
            <v>4.5877525252525251</v>
          </cell>
          <cell r="AT93">
            <v>0</v>
          </cell>
          <cell r="AV93">
            <v>65.225746575348708</v>
          </cell>
        </row>
        <row r="94">
          <cell r="C94" t="str">
            <v>Custo Total (R$/Hora)</v>
          </cell>
          <cell r="D94">
            <v>0</v>
          </cell>
          <cell r="E94">
            <v>0</v>
          </cell>
          <cell r="F94">
            <v>36.981382756791078</v>
          </cell>
          <cell r="G94">
            <v>0</v>
          </cell>
          <cell r="H94">
            <v>19.164908030335017</v>
          </cell>
          <cell r="I94">
            <v>0</v>
          </cell>
          <cell r="J94">
            <v>0</v>
          </cell>
          <cell r="O94">
            <v>0</v>
          </cell>
          <cell r="P94">
            <v>4.5877525252525251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</row>
        <row r="95">
          <cell r="B95" t="str">
            <v>EQ29</v>
          </cell>
          <cell r="C95" t="str">
            <v>Quantidade</v>
          </cell>
          <cell r="F95">
            <v>1</v>
          </cell>
          <cell r="G95">
            <v>1</v>
          </cell>
          <cell r="H95">
            <v>1</v>
          </cell>
          <cell r="K95">
            <v>91.750370051041656</v>
          </cell>
          <cell r="L95">
            <v>0.08</v>
          </cell>
          <cell r="M95">
            <v>7.340029604083333</v>
          </cell>
          <cell r="N95">
            <v>99.090399655124983</v>
          </cell>
          <cell r="P95">
            <v>1</v>
          </cell>
          <cell r="AD95">
            <v>4.5877525252525251</v>
          </cell>
          <cell r="AT95">
            <v>0</v>
          </cell>
          <cell r="AV95">
            <v>103.67815218037751</v>
          </cell>
        </row>
        <row r="96">
          <cell r="C96" t="str">
            <v>Custo Total (R$/Hora)</v>
          </cell>
          <cell r="D96">
            <v>0</v>
          </cell>
          <cell r="E96">
            <v>0</v>
          </cell>
          <cell r="F96">
            <v>36.981382756791078</v>
          </cell>
          <cell r="G96">
            <v>35.604079263915573</v>
          </cell>
          <cell r="H96">
            <v>19.164908030335017</v>
          </cell>
          <cell r="I96">
            <v>0</v>
          </cell>
          <cell r="J96">
            <v>0</v>
          </cell>
          <cell r="O96">
            <v>0</v>
          </cell>
          <cell r="P96">
            <v>4.5877525252525251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</row>
        <row r="97">
          <cell r="B97" t="str">
            <v>EQ30</v>
          </cell>
          <cell r="C97" t="str">
            <v>Quantidade</v>
          </cell>
          <cell r="G97">
            <v>1</v>
          </cell>
          <cell r="H97">
            <v>1</v>
          </cell>
          <cell r="K97">
            <v>54.768987294250593</v>
          </cell>
          <cell r="L97">
            <v>0.08</v>
          </cell>
          <cell r="M97">
            <v>4.3815189835400474</v>
          </cell>
          <cell r="N97">
            <v>59.15050627779064</v>
          </cell>
          <cell r="Y97">
            <v>1</v>
          </cell>
          <cell r="AD97">
            <v>52.119191919191913</v>
          </cell>
          <cell r="AT97">
            <v>0</v>
          </cell>
          <cell r="AV97">
            <v>111.26969819698255</v>
          </cell>
        </row>
        <row r="98">
          <cell r="C98" t="str">
            <v>Custo Total (R$/Hora)</v>
          </cell>
          <cell r="D98">
            <v>0</v>
          </cell>
          <cell r="E98">
            <v>0</v>
          </cell>
          <cell r="F98">
            <v>0</v>
          </cell>
          <cell r="G98">
            <v>35.604079263915573</v>
          </cell>
          <cell r="H98">
            <v>19.164908030335017</v>
          </cell>
          <cell r="I98">
            <v>0</v>
          </cell>
          <cell r="J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52.119191919191913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</row>
        <row r="99">
          <cell r="B99" t="str">
            <v>EQ31</v>
          </cell>
          <cell r="C99" t="str">
            <v>Quantidade</v>
          </cell>
          <cell r="G99">
            <v>1</v>
          </cell>
          <cell r="H99">
            <v>1</v>
          </cell>
          <cell r="K99">
            <v>54.768987294250593</v>
          </cell>
          <cell r="L99">
            <v>0.08</v>
          </cell>
          <cell r="M99">
            <v>4.3815189835400474</v>
          </cell>
          <cell r="N99">
            <v>59.15050627779064</v>
          </cell>
          <cell r="X99">
            <v>1</v>
          </cell>
          <cell r="AD99">
            <v>22.620833333333334</v>
          </cell>
          <cell r="AT99">
            <v>0</v>
          </cell>
          <cell r="AV99">
            <v>81.771339611123977</v>
          </cell>
        </row>
        <row r="100">
          <cell r="C100" t="str">
            <v>Custo Total (R$/Hora)</v>
          </cell>
          <cell r="D100">
            <v>0</v>
          </cell>
          <cell r="E100">
            <v>0</v>
          </cell>
          <cell r="F100">
            <v>0</v>
          </cell>
          <cell r="G100">
            <v>35.604079263915573</v>
          </cell>
          <cell r="H100">
            <v>19.164908030335017</v>
          </cell>
          <cell r="I100">
            <v>0</v>
          </cell>
          <cell r="J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22.620833333333334</v>
          </cell>
          <cell r="Y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</row>
        <row r="101">
          <cell r="B101" t="str">
            <v>EQ32</v>
          </cell>
          <cell r="C101" t="str">
            <v>Quantidade</v>
          </cell>
          <cell r="K101">
            <v>0</v>
          </cell>
          <cell r="L101">
            <v>0.08</v>
          </cell>
          <cell r="M101">
            <v>0</v>
          </cell>
          <cell r="N101">
            <v>0</v>
          </cell>
          <cell r="AD101">
            <v>0</v>
          </cell>
          <cell r="AT101">
            <v>0</v>
          </cell>
          <cell r="AV101">
            <v>0</v>
          </cell>
        </row>
        <row r="102">
          <cell r="C102" t="str">
            <v>Custo Total (R$/Hora)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</row>
        <row r="105">
          <cell r="B105" t="str">
            <v>EQUIPES COM TURNO</v>
          </cell>
          <cell r="C105" t="str">
            <v>Custo Unitário 6h (R$/Hora)</v>
          </cell>
          <cell r="D105">
            <v>52.209446092530392</v>
          </cell>
          <cell r="E105">
            <v>52.209446092530392</v>
          </cell>
          <cell r="F105">
            <v>46.226728445988854</v>
          </cell>
          <cell r="G105">
            <v>44.505099079894464</v>
          </cell>
          <cell r="H105">
            <v>23.95613503791877</v>
          </cell>
          <cell r="I105">
            <v>79.917436176329048</v>
          </cell>
          <cell r="J105">
            <v>122.94655401402721</v>
          </cell>
          <cell r="K105" t="str">
            <v>Mão de Obra</v>
          </cell>
          <cell r="L105" t="str">
            <v>% EPI + EPC</v>
          </cell>
          <cell r="M105" t="str">
            <v>Custo EPI + EPC</v>
          </cell>
          <cell r="N105" t="str">
            <v>Mão de Obra Total</v>
          </cell>
          <cell r="O105">
            <v>4.4077525252525254</v>
          </cell>
          <cell r="P105">
            <v>4.5877525252525251</v>
          </cell>
          <cell r="Q105">
            <v>5.955303030303031</v>
          </cell>
          <cell r="R105">
            <v>6.7662878787878791</v>
          </cell>
          <cell r="S105">
            <v>12.267676767676768</v>
          </cell>
          <cell r="T105">
            <v>21.484848484848484</v>
          </cell>
          <cell r="U105">
            <v>11.052727272727273</v>
          </cell>
          <cell r="V105">
            <v>2.2656969696969695</v>
          </cell>
          <cell r="W105">
            <v>1.0097676767676769</v>
          </cell>
          <cell r="X105">
            <v>22.620833333333334</v>
          </cell>
          <cell r="Y105">
            <v>52.119191919191913</v>
          </cell>
          <cell r="Z105">
            <v>45.719191919191914</v>
          </cell>
          <cell r="AA105">
            <v>0</v>
          </cell>
          <cell r="AB105">
            <v>0</v>
          </cell>
          <cell r="AC105">
            <v>0</v>
          </cell>
          <cell r="AD105" t="str">
            <v>Veículo</v>
          </cell>
          <cell r="AE105">
            <v>0.51491820377689945</v>
          </cell>
          <cell r="AF105">
            <v>2.6654589371980677</v>
          </cell>
          <cell r="AG105">
            <v>24.231444883618799</v>
          </cell>
          <cell r="AH105">
            <v>28.774840799297323</v>
          </cell>
          <cell r="AI105">
            <v>51.491820377689947</v>
          </cell>
          <cell r="AJ105">
            <v>9.9954710144927539</v>
          </cell>
          <cell r="AK105">
            <v>19.990942028985508</v>
          </cell>
          <cell r="AL105">
            <v>3.6347167325428191E-2</v>
          </cell>
          <cell r="AM105">
            <v>0</v>
          </cell>
          <cell r="AN105">
            <v>18.779369784804569</v>
          </cell>
          <cell r="AO105">
            <v>6.0578612209046998</v>
          </cell>
          <cell r="AP105">
            <v>18.173583662714098</v>
          </cell>
          <cell r="AQ105">
            <v>11.509936319718928</v>
          </cell>
          <cell r="AR105">
            <v>3.0289306104523499</v>
          </cell>
          <cell r="AS105">
            <v>0</v>
          </cell>
          <cell r="AT105" t="str">
            <v>Máquinas</v>
          </cell>
          <cell r="AV105" t="str">
            <v>EQUIPE</v>
          </cell>
        </row>
      </sheetData>
      <sheetData sheetId="4">
        <row r="13">
          <cell r="C13" t="str">
            <v>Veículo Leve Administrativo</v>
          </cell>
          <cell r="D13">
            <v>25000</v>
          </cell>
          <cell r="E13">
            <v>0</v>
          </cell>
          <cell r="F13">
            <v>0</v>
          </cell>
          <cell r="G13">
            <v>4</v>
          </cell>
          <cell r="H13">
            <v>5</v>
          </cell>
          <cell r="I13">
            <v>22000</v>
          </cell>
          <cell r="J13">
            <v>15</v>
          </cell>
          <cell r="K13" t="str">
            <v>Gasolina</v>
          </cell>
          <cell r="L13">
            <v>2.7</v>
          </cell>
          <cell r="M13">
            <v>0.05</v>
          </cell>
          <cell r="N13">
            <v>0.06</v>
          </cell>
          <cell r="O13">
            <v>3000</v>
          </cell>
          <cell r="Q13">
            <v>3960.0000000000005</v>
          </cell>
          <cell r="R13">
            <v>1250</v>
          </cell>
          <cell r="S13">
            <v>1500</v>
          </cell>
          <cell r="T13">
            <v>6513.257575757576</v>
          </cell>
          <cell r="U13">
            <v>13223.257575757576</v>
          </cell>
          <cell r="V13">
            <v>1101.9381313131314</v>
          </cell>
          <cell r="W13">
            <v>4.4077525252525254</v>
          </cell>
        </row>
        <row r="14">
          <cell r="C14" t="str">
            <v>Veículo Leve Operacional</v>
          </cell>
          <cell r="D14">
            <v>25000</v>
          </cell>
          <cell r="E14">
            <v>0</v>
          </cell>
          <cell r="F14">
            <v>0</v>
          </cell>
          <cell r="G14">
            <v>4</v>
          </cell>
          <cell r="H14">
            <v>5</v>
          </cell>
          <cell r="I14">
            <v>25000</v>
          </cell>
          <cell r="J14">
            <v>15</v>
          </cell>
          <cell r="K14" t="str">
            <v>Gasolina</v>
          </cell>
          <cell r="L14">
            <v>2.7</v>
          </cell>
          <cell r="M14">
            <v>0.05</v>
          </cell>
          <cell r="N14">
            <v>0.06</v>
          </cell>
          <cell r="O14">
            <v>3000</v>
          </cell>
          <cell r="Q14">
            <v>4500.0000000000009</v>
          </cell>
          <cell r="R14">
            <v>1250</v>
          </cell>
          <cell r="S14">
            <v>1500</v>
          </cell>
          <cell r="T14">
            <v>6513.257575757576</v>
          </cell>
          <cell r="U14">
            <v>13763.257575757576</v>
          </cell>
          <cell r="V14">
            <v>1146.9381313131314</v>
          </cell>
          <cell r="W14">
            <v>4.5877525252525251</v>
          </cell>
        </row>
        <row r="15">
          <cell r="C15" t="str">
            <v>Veículo Leve tipo Pick-Up</v>
          </cell>
          <cell r="D15">
            <v>30000</v>
          </cell>
          <cell r="E15">
            <v>0</v>
          </cell>
          <cell r="F15">
            <v>0</v>
          </cell>
          <cell r="G15">
            <v>2</v>
          </cell>
          <cell r="H15">
            <v>5</v>
          </cell>
          <cell r="I15">
            <v>25000</v>
          </cell>
          <cell r="J15">
            <v>10</v>
          </cell>
          <cell r="K15" t="str">
            <v>Gasolina</v>
          </cell>
          <cell r="L15">
            <v>2.7</v>
          </cell>
          <cell r="M15">
            <v>0.05</v>
          </cell>
          <cell r="N15">
            <v>0.06</v>
          </cell>
          <cell r="O15">
            <v>3000</v>
          </cell>
          <cell r="Q15">
            <v>6750</v>
          </cell>
          <cell r="R15">
            <v>1500</v>
          </cell>
          <cell r="S15">
            <v>1800</v>
          </cell>
          <cell r="T15">
            <v>7815.909090909091</v>
          </cell>
          <cell r="U15">
            <v>17865.909090909092</v>
          </cell>
          <cell r="V15">
            <v>1488.8257575757577</v>
          </cell>
          <cell r="W15">
            <v>5.955303030303031</v>
          </cell>
        </row>
        <row r="16">
          <cell r="C16" t="str">
            <v>Veículo Médio tipo Pick-Up</v>
          </cell>
          <cell r="D16">
            <v>45000</v>
          </cell>
          <cell r="E16">
            <v>0</v>
          </cell>
          <cell r="F16">
            <v>0</v>
          </cell>
          <cell r="G16">
            <v>2</v>
          </cell>
          <cell r="H16">
            <v>8</v>
          </cell>
          <cell r="I16">
            <v>20000</v>
          </cell>
          <cell r="J16">
            <v>8</v>
          </cell>
          <cell r="K16" t="str">
            <v>Diesel</v>
          </cell>
          <cell r="L16">
            <v>1.9</v>
          </cell>
          <cell r="M16">
            <v>0.1</v>
          </cell>
          <cell r="N16">
            <v>0.06</v>
          </cell>
          <cell r="O16">
            <v>3000</v>
          </cell>
          <cell r="Q16">
            <v>4750</v>
          </cell>
          <cell r="R16">
            <v>4500</v>
          </cell>
          <cell r="S16">
            <v>2700</v>
          </cell>
          <cell r="T16">
            <v>8348.863636363636</v>
          </cell>
          <cell r="U16">
            <v>20298.863636363636</v>
          </cell>
          <cell r="V16">
            <v>1691.5719696969697</v>
          </cell>
          <cell r="W16">
            <v>6.7662878787878791</v>
          </cell>
        </row>
        <row r="17">
          <cell r="C17" t="str">
            <v>Caminhão Leve</v>
          </cell>
          <cell r="D17">
            <v>100000</v>
          </cell>
          <cell r="E17">
            <v>0</v>
          </cell>
          <cell r="F17">
            <v>0</v>
          </cell>
          <cell r="G17">
            <v>3</v>
          </cell>
          <cell r="H17">
            <v>10</v>
          </cell>
          <cell r="I17">
            <v>15000</v>
          </cell>
          <cell r="J17">
            <v>6</v>
          </cell>
          <cell r="K17" t="str">
            <v>Diesel</v>
          </cell>
          <cell r="L17">
            <v>1.9</v>
          </cell>
          <cell r="M17">
            <v>0.1</v>
          </cell>
          <cell r="N17">
            <v>0.06</v>
          </cell>
          <cell r="O17">
            <v>3000</v>
          </cell>
          <cell r="Q17">
            <v>4750</v>
          </cell>
          <cell r="R17">
            <v>10000</v>
          </cell>
          <cell r="S17">
            <v>6000</v>
          </cell>
          <cell r="T17">
            <v>16053.030303030304</v>
          </cell>
          <cell r="U17">
            <v>36803.030303030304</v>
          </cell>
          <cell r="V17">
            <v>3066.9191919191921</v>
          </cell>
          <cell r="W17">
            <v>12.267676767676768</v>
          </cell>
        </row>
        <row r="18">
          <cell r="C18" t="str">
            <v>Caminhão Pesado</v>
          </cell>
          <cell r="D18">
            <v>150000</v>
          </cell>
          <cell r="E18">
            <v>0</v>
          </cell>
          <cell r="F18">
            <v>0</v>
          </cell>
          <cell r="G18">
            <v>3</v>
          </cell>
          <cell r="H18">
            <v>15</v>
          </cell>
          <cell r="I18">
            <v>45000</v>
          </cell>
          <cell r="J18">
            <v>4</v>
          </cell>
          <cell r="K18" t="str">
            <v>Diesel</v>
          </cell>
          <cell r="L18">
            <v>1.9</v>
          </cell>
          <cell r="M18">
            <v>0.1</v>
          </cell>
          <cell r="N18">
            <v>0.06</v>
          </cell>
          <cell r="O18">
            <v>3000</v>
          </cell>
          <cell r="Q18">
            <v>21375</v>
          </cell>
          <cell r="R18">
            <v>15000</v>
          </cell>
          <cell r="S18">
            <v>9000</v>
          </cell>
          <cell r="T18">
            <v>19079.545454545456</v>
          </cell>
          <cell r="U18">
            <v>64454.545454545456</v>
          </cell>
          <cell r="V18">
            <v>5371.212121212121</v>
          </cell>
          <cell r="W18">
            <v>21.484848484848484</v>
          </cell>
        </row>
        <row r="19">
          <cell r="C19" t="str">
            <v>Utilitário - Van</v>
          </cell>
          <cell r="D19">
            <v>45000</v>
          </cell>
          <cell r="E19">
            <v>0</v>
          </cell>
          <cell r="F19">
            <v>0</v>
          </cell>
          <cell r="G19">
            <v>10</v>
          </cell>
          <cell r="H19">
            <v>5</v>
          </cell>
          <cell r="I19">
            <v>15000</v>
          </cell>
          <cell r="J19">
            <v>10</v>
          </cell>
          <cell r="K19" t="str">
            <v>Gasolina</v>
          </cell>
          <cell r="L19">
            <v>2.7</v>
          </cell>
          <cell r="M19">
            <v>0.05</v>
          </cell>
          <cell r="N19">
            <v>0.06</v>
          </cell>
          <cell r="O19">
            <v>1875</v>
          </cell>
          <cell r="Q19">
            <v>4050.0000000000005</v>
          </cell>
          <cell r="R19">
            <v>2250</v>
          </cell>
          <cell r="S19">
            <v>2700</v>
          </cell>
          <cell r="T19">
            <v>11723.863636363636</v>
          </cell>
          <cell r="U19">
            <v>20723.863636363636</v>
          </cell>
          <cell r="V19">
            <v>1726.9886363636363</v>
          </cell>
          <cell r="W19">
            <v>11.052727272727273</v>
          </cell>
        </row>
        <row r="20">
          <cell r="C20" t="str">
            <v>Motocicleta</v>
          </cell>
          <cell r="D20">
            <v>6000</v>
          </cell>
          <cell r="E20">
            <v>0</v>
          </cell>
          <cell r="F20">
            <v>0</v>
          </cell>
          <cell r="G20">
            <v>1</v>
          </cell>
          <cell r="H20">
            <v>5</v>
          </cell>
          <cell r="I20">
            <v>30000</v>
          </cell>
          <cell r="J20">
            <v>40</v>
          </cell>
          <cell r="K20" t="str">
            <v>Gasolina</v>
          </cell>
          <cell r="L20">
            <v>2.7</v>
          </cell>
          <cell r="M20">
            <v>0.05</v>
          </cell>
          <cell r="N20">
            <v>0.06</v>
          </cell>
          <cell r="O20">
            <v>1875</v>
          </cell>
          <cell r="Q20">
            <v>2025.0000000000002</v>
          </cell>
          <cell r="R20">
            <v>300</v>
          </cell>
          <cell r="S20">
            <v>360</v>
          </cell>
          <cell r="T20">
            <v>1563.1818181818182</v>
          </cell>
          <cell r="U20">
            <v>4248.181818181818</v>
          </cell>
          <cell r="V20">
            <v>354.0151515151515</v>
          </cell>
          <cell r="W20">
            <v>2.2656969696969695</v>
          </cell>
        </row>
        <row r="21">
          <cell r="C21" t="str">
            <v>Lancha</v>
          </cell>
          <cell r="D21">
            <v>10000</v>
          </cell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1200</v>
          </cell>
          <cell r="J21">
            <v>10</v>
          </cell>
          <cell r="K21" t="str">
            <v>Gasolina</v>
          </cell>
          <cell r="L21">
            <v>2.7</v>
          </cell>
          <cell r="M21">
            <v>0.05</v>
          </cell>
          <cell r="N21">
            <v>0.06</v>
          </cell>
          <cell r="O21">
            <v>3000</v>
          </cell>
          <cell r="Q21">
            <v>324</v>
          </cell>
          <cell r="R21">
            <v>500</v>
          </cell>
          <cell r="S21">
            <v>600</v>
          </cell>
          <cell r="T21">
            <v>1605.3030303030305</v>
          </cell>
          <cell r="U21">
            <v>3029.3030303030305</v>
          </cell>
          <cell r="V21">
            <v>252.4419191919192</v>
          </cell>
          <cell r="W21">
            <v>1.0097676767676769</v>
          </cell>
        </row>
        <row r="22">
          <cell r="C22" t="str">
            <v>Caminhão Basculante</v>
          </cell>
          <cell r="D22">
            <v>150000</v>
          </cell>
          <cell r="E22">
            <v>15000</v>
          </cell>
          <cell r="F22">
            <v>0</v>
          </cell>
          <cell r="G22">
            <v>3</v>
          </cell>
          <cell r="H22">
            <v>15</v>
          </cell>
          <cell r="I22">
            <v>45000</v>
          </cell>
          <cell r="J22">
            <v>4</v>
          </cell>
          <cell r="K22" t="str">
            <v>Diesel</v>
          </cell>
          <cell r="L22">
            <v>1.9</v>
          </cell>
          <cell r="M22">
            <v>0.1</v>
          </cell>
          <cell r="N22">
            <v>0.06</v>
          </cell>
          <cell r="O22">
            <v>3000</v>
          </cell>
          <cell r="Q22">
            <v>21375</v>
          </cell>
          <cell r="R22">
            <v>16500</v>
          </cell>
          <cell r="S22">
            <v>9000</v>
          </cell>
          <cell r="T22">
            <v>20987.5</v>
          </cell>
          <cell r="U22">
            <v>67862.5</v>
          </cell>
          <cell r="V22">
            <v>5655.208333333333</v>
          </cell>
          <cell r="W22">
            <v>22.620833333333334</v>
          </cell>
        </row>
        <row r="23">
          <cell r="C23" t="str">
            <v>Caminhão Munck</v>
          </cell>
          <cell r="D23">
            <v>470000</v>
          </cell>
          <cell r="E23">
            <v>0</v>
          </cell>
          <cell r="F23">
            <v>0</v>
          </cell>
          <cell r="G23">
            <v>3</v>
          </cell>
          <cell r="H23">
            <v>15</v>
          </cell>
          <cell r="I23">
            <v>45000</v>
          </cell>
          <cell r="J23">
            <v>4</v>
          </cell>
          <cell r="K23" t="str">
            <v>Diesel</v>
          </cell>
          <cell r="L23">
            <v>1.9</v>
          </cell>
          <cell r="M23">
            <v>0.1</v>
          </cell>
          <cell r="N23">
            <v>0.06</v>
          </cell>
          <cell r="O23">
            <v>3000</v>
          </cell>
          <cell r="Q23">
            <v>21375</v>
          </cell>
          <cell r="R23">
            <v>47000</v>
          </cell>
          <cell r="S23">
            <v>28200</v>
          </cell>
          <cell r="T23">
            <v>59782.57575757576</v>
          </cell>
          <cell r="U23">
            <v>156357.57575757575</v>
          </cell>
          <cell r="V23">
            <v>13029.797979797979</v>
          </cell>
          <cell r="W23">
            <v>52.119191919191913</v>
          </cell>
        </row>
        <row r="24">
          <cell r="C24" t="str">
            <v>Caminhão Pipa</v>
          </cell>
          <cell r="D24">
            <v>150000</v>
          </cell>
          <cell r="E24">
            <v>320000</v>
          </cell>
          <cell r="F24">
            <v>0</v>
          </cell>
          <cell r="G24">
            <v>3</v>
          </cell>
          <cell r="H24">
            <v>15</v>
          </cell>
          <cell r="I24">
            <v>45000</v>
          </cell>
          <cell r="J24">
            <v>4</v>
          </cell>
          <cell r="K24" t="str">
            <v>Diesel</v>
          </cell>
          <cell r="L24">
            <v>1.9</v>
          </cell>
          <cell r="M24">
            <v>0.1</v>
          </cell>
          <cell r="N24">
            <v>0.06</v>
          </cell>
          <cell r="O24">
            <v>3000</v>
          </cell>
          <cell r="Q24">
            <v>21375</v>
          </cell>
          <cell r="R24">
            <v>47000</v>
          </cell>
          <cell r="S24">
            <v>9000</v>
          </cell>
          <cell r="T24">
            <v>59782.57575757576</v>
          </cell>
          <cell r="U24">
            <v>137157.57575757575</v>
          </cell>
          <cell r="V24">
            <v>11429.797979797979</v>
          </cell>
          <cell r="W24">
            <v>45.719191919191914</v>
          </cell>
        </row>
        <row r="25">
          <cell r="E25">
            <v>0</v>
          </cell>
          <cell r="F25">
            <v>0</v>
          </cell>
          <cell r="L25">
            <v>0</v>
          </cell>
          <cell r="O25">
            <v>3000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E26">
            <v>0</v>
          </cell>
          <cell r="F26">
            <v>0</v>
          </cell>
          <cell r="L26">
            <v>0</v>
          </cell>
          <cell r="O26">
            <v>3000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E27">
            <v>0</v>
          </cell>
          <cell r="F27">
            <v>0</v>
          </cell>
          <cell r="L27">
            <v>0</v>
          </cell>
          <cell r="O27">
            <v>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33">
          <cell r="C33" t="str">
            <v>Compressor</v>
          </cell>
          <cell r="D33">
            <v>8500</v>
          </cell>
          <cell r="E33">
            <v>0</v>
          </cell>
          <cell r="F33">
            <v>0</v>
          </cell>
          <cell r="H33">
            <v>15</v>
          </cell>
          <cell r="L33">
            <v>0</v>
          </cell>
          <cell r="M33">
            <v>0.03</v>
          </cell>
          <cell r="N33">
            <v>0.01</v>
          </cell>
          <cell r="O33">
            <v>2760</v>
          </cell>
          <cell r="Q33">
            <v>0</v>
          </cell>
          <cell r="R33">
            <v>255</v>
          </cell>
          <cell r="S33">
            <v>85</v>
          </cell>
          <cell r="T33">
            <v>1081.1742424242425</v>
          </cell>
          <cell r="U33">
            <v>1421.1742424242425</v>
          </cell>
          <cell r="V33">
            <v>118.43118686868688</v>
          </cell>
          <cell r="W33">
            <v>0.51491820377689945</v>
          </cell>
        </row>
        <row r="34">
          <cell r="C34" t="str">
            <v>Empilhadeira</v>
          </cell>
          <cell r="D34">
            <v>44000</v>
          </cell>
          <cell r="E34">
            <v>0</v>
          </cell>
          <cell r="F34">
            <v>0</v>
          </cell>
          <cell r="H34">
            <v>15</v>
          </cell>
          <cell r="L34">
            <v>0</v>
          </cell>
          <cell r="M34">
            <v>0.03</v>
          </cell>
          <cell r="N34">
            <v>0.01</v>
          </cell>
          <cell r="O34">
            <v>2760</v>
          </cell>
          <cell r="Q34">
            <v>0</v>
          </cell>
          <cell r="R34">
            <v>1320</v>
          </cell>
          <cell r="S34">
            <v>440</v>
          </cell>
          <cell r="T34">
            <v>5596.666666666667</v>
          </cell>
          <cell r="U34">
            <v>7356.666666666667</v>
          </cell>
          <cell r="V34">
            <v>613.05555555555554</v>
          </cell>
          <cell r="W34">
            <v>2.6654589371980677</v>
          </cell>
        </row>
        <row r="35">
          <cell r="C35" t="str">
            <v>Equipamento de Jato - Desobstrutor</v>
          </cell>
          <cell r="D35">
            <v>400000</v>
          </cell>
          <cell r="E35">
            <v>0</v>
          </cell>
          <cell r="F35">
            <v>0</v>
          </cell>
          <cell r="H35">
            <v>15</v>
          </cell>
          <cell r="L35">
            <v>0</v>
          </cell>
          <cell r="M35">
            <v>0.03</v>
          </cell>
          <cell r="N35">
            <v>0.01</v>
          </cell>
          <cell r="O35">
            <v>2760</v>
          </cell>
          <cell r="Q35">
            <v>0</v>
          </cell>
          <cell r="R35">
            <v>12000</v>
          </cell>
          <cell r="S35">
            <v>4000</v>
          </cell>
          <cell r="T35">
            <v>50878.787878787887</v>
          </cell>
          <cell r="U35">
            <v>66878.787878787887</v>
          </cell>
          <cell r="V35">
            <v>5573.2323232323242</v>
          </cell>
          <cell r="W35">
            <v>24.231444883618799</v>
          </cell>
        </row>
        <row r="36">
          <cell r="C36" t="str">
            <v>Escavadeira</v>
          </cell>
          <cell r="D36">
            <v>475000</v>
          </cell>
          <cell r="E36">
            <v>0</v>
          </cell>
          <cell r="F36">
            <v>0</v>
          </cell>
          <cell r="H36">
            <v>15</v>
          </cell>
          <cell r="L36">
            <v>0</v>
          </cell>
          <cell r="M36">
            <v>0.03</v>
          </cell>
          <cell r="N36">
            <v>0.01</v>
          </cell>
          <cell r="O36">
            <v>2760</v>
          </cell>
          <cell r="Q36">
            <v>0</v>
          </cell>
          <cell r="R36">
            <v>14250</v>
          </cell>
          <cell r="S36">
            <v>4750</v>
          </cell>
          <cell r="T36">
            <v>60418.560606060608</v>
          </cell>
          <cell r="U36">
            <v>79418.560606060608</v>
          </cell>
          <cell r="V36">
            <v>6618.2133838383843</v>
          </cell>
          <cell r="W36">
            <v>28.774840799297323</v>
          </cell>
        </row>
        <row r="37">
          <cell r="C37" t="str">
            <v>Guindaste</v>
          </cell>
          <cell r="D37">
            <v>850000</v>
          </cell>
          <cell r="E37">
            <v>0</v>
          </cell>
          <cell r="F37">
            <v>0</v>
          </cell>
          <cell r="H37">
            <v>15</v>
          </cell>
          <cell r="L37">
            <v>0</v>
          </cell>
          <cell r="M37">
            <v>0.03</v>
          </cell>
          <cell r="N37">
            <v>0.01</v>
          </cell>
          <cell r="O37">
            <v>2760</v>
          </cell>
          <cell r="Q37">
            <v>0</v>
          </cell>
          <cell r="R37">
            <v>25500</v>
          </cell>
          <cell r="S37">
            <v>8500</v>
          </cell>
          <cell r="T37">
            <v>108117.42424242425</v>
          </cell>
          <cell r="U37">
            <v>142117.42424242425</v>
          </cell>
          <cell r="V37">
            <v>11843.118686868687</v>
          </cell>
          <cell r="W37">
            <v>51.491820377689947</v>
          </cell>
        </row>
        <row r="38">
          <cell r="C38" t="str">
            <v>Maquina de Cortar Asfalto</v>
          </cell>
          <cell r="D38">
            <v>165000</v>
          </cell>
          <cell r="E38">
            <v>0</v>
          </cell>
          <cell r="F38">
            <v>0</v>
          </cell>
          <cell r="H38">
            <v>15</v>
          </cell>
          <cell r="L38">
            <v>0</v>
          </cell>
          <cell r="M38">
            <v>0.03</v>
          </cell>
          <cell r="N38">
            <v>0.01</v>
          </cell>
          <cell r="O38">
            <v>2760</v>
          </cell>
          <cell r="Q38">
            <v>0</v>
          </cell>
          <cell r="R38">
            <v>4950</v>
          </cell>
          <cell r="S38">
            <v>1650</v>
          </cell>
          <cell r="T38">
            <v>20987.5</v>
          </cell>
          <cell r="U38">
            <v>27587.5</v>
          </cell>
          <cell r="V38">
            <v>2298.9583333333335</v>
          </cell>
          <cell r="W38">
            <v>9.9954710144927539</v>
          </cell>
        </row>
        <row r="39">
          <cell r="C39" t="str">
            <v>Motoniveladora</v>
          </cell>
          <cell r="D39">
            <v>330000</v>
          </cell>
          <cell r="E39">
            <v>0</v>
          </cell>
          <cell r="F39">
            <v>0</v>
          </cell>
          <cell r="H39">
            <v>15</v>
          </cell>
          <cell r="L39">
            <v>0</v>
          </cell>
          <cell r="M39">
            <v>0.03</v>
          </cell>
          <cell r="N39">
            <v>0.01</v>
          </cell>
          <cell r="O39">
            <v>2760</v>
          </cell>
          <cell r="Q39">
            <v>0</v>
          </cell>
          <cell r="R39">
            <v>9900</v>
          </cell>
          <cell r="S39">
            <v>3300</v>
          </cell>
          <cell r="T39">
            <v>41975</v>
          </cell>
          <cell r="U39">
            <v>55175</v>
          </cell>
          <cell r="V39">
            <v>4597.916666666667</v>
          </cell>
          <cell r="W39">
            <v>19.990942028985508</v>
          </cell>
        </row>
        <row r="40">
          <cell r="C40" t="str">
            <v>Motor Estacionario</v>
          </cell>
          <cell r="D40">
            <v>600</v>
          </cell>
          <cell r="E40">
            <v>0</v>
          </cell>
          <cell r="F40">
            <v>0</v>
          </cell>
          <cell r="H40">
            <v>15</v>
          </cell>
          <cell r="L40">
            <v>0</v>
          </cell>
          <cell r="M40">
            <v>0.03</v>
          </cell>
          <cell r="N40">
            <v>0.01</v>
          </cell>
          <cell r="O40">
            <v>2760</v>
          </cell>
          <cell r="Q40">
            <v>0</v>
          </cell>
          <cell r="R40">
            <v>18</v>
          </cell>
          <cell r="S40">
            <v>6</v>
          </cell>
          <cell r="T40">
            <v>76.318181818181813</v>
          </cell>
          <cell r="U40">
            <v>100.31818181818181</v>
          </cell>
          <cell r="V40">
            <v>8.3598484848484844</v>
          </cell>
          <cell r="W40">
            <v>3.6347167325428191E-2</v>
          </cell>
        </row>
        <row r="41">
          <cell r="C41" t="str">
            <v>Plataforma</v>
          </cell>
          <cell r="E41">
            <v>0</v>
          </cell>
          <cell r="F41">
            <v>0</v>
          </cell>
          <cell r="L41">
            <v>0</v>
          </cell>
          <cell r="M41">
            <v>0.03</v>
          </cell>
          <cell r="N41">
            <v>0.01</v>
          </cell>
          <cell r="O41">
            <v>2760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C42" t="str">
            <v>Retroescavadeira</v>
          </cell>
          <cell r="D42">
            <v>310000</v>
          </cell>
          <cell r="E42">
            <v>0</v>
          </cell>
          <cell r="F42">
            <v>0</v>
          </cell>
          <cell r="H42">
            <v>15</v>
          </cell>
          <cell r="L42">
            <v>0</v>
          </cell>
          <cell r="M42">
            <v>0.03</v>
          </cell>
          <cell r="N42">
            <v>0.01</v>
          </cell>
          <cell r="O42">
            <v>2760</v>
          </cell>
          <cell r="Q42">
            <v>0</v>
          </cell>
          <cell r="R42">
            <v>9300</v>
          </cell>
          <cell r="S42">
            <v>3100</v>
          </cell>
          <cell r="T42">
            <v>39431.060606060608</v>
          </cell>
          <cell r="U42">
            <v>51831.060606060608</v>
          </cell>
          <cell r="V42">
            <v>4319.2550505050503</v>
          </cell>
          <cell r="W42">
            <v>18.779369784804569</v>
          </cell>
        </row>
        <row r="43">
          <cell r="C43" t="str">
            <v>Trator</v>
          </cell>
          <cell r="D43">
            <v>100000</v>
          </cell>
          <cell r="E43">
            <v>0</v>
          </cell>
          <cell r="F43">
            <v>0</v>
          </cell>
          <cell r="H43">
            <v>15</v>
          </cell>
          <cell r="L43">
            <v>0</v>
          </cell>
          <cell r="M43">
            <v>0.03</v>
          </cell>
          <cell r="N43">
            <v>0.01</v>
          </cell>
          <cell r="O43">
            <v>2760</v>
          </cell>
          <cell r="Q43">
            <v>0</v>
          </cell>
          <cell r="R43">
            <v>3000</v>
          </cell>
          <cell r="S43">
            <v>1000</v>
          </cell>
          <cell r="T43">
            <v>12719.696969696972</v>
          </cell>
          <cell r="U43">
            <v>16719.696969696972</v>
          </cell>
          <cell r="V43">
            <v>1393.3080808080811</v>
          </cell>
          <cell r="W43">
            <v>6.0578612209046998</v>
          </cell>
        </row>
        <row r="44">
          <cell r="C44" t="str">
            <v>Trator Esteira</v>
          </cell>
          <cell r="D44">
            <v>300000</v>
          </cell>
          <cell r="E44">
            <v>0</v>
          </cell>
          <cell r="F44">
            <v>0</v>
          </cell>
          <cell r="H44">
            <v>15</v>
          </cell>
          <cell r="L44">
            <v>0</v>
          </cell>
          <cell r="M44">
            <v>0.03</v>
          </cell>
          <cell r="N44">
            <v>0.01</v>
          </cell>
          <cell r="O44">
            <v>2760</v>
          </cell>
          <cell r="Q44">
            <v>0</v>
          </cell>
          <cell r="R44">
            <v>9000</v>
          </cell>
          <cell r="S44">
            <v>3000</v>
          </cell>
          <cell r="T44">
            <v>38159.090909090912</v>
          </cell>
          <cell r="U44">
            <v>50159.090909090912</v>
          </cell>
          <cell r="V44">
            <v>4179.9242424242429</v>
          </cell>
          <cell r="W44">
            <v>18.173583662714098</v>
          </cell>
        </row>
        <row r="45">
          <cell r="C45" t="str">
            <v>Trator Roçadeira</v>
          </cell>
          <cell r="D45">
            <v>190000</v>
          </cell>
          <cell r="E45">
            <v>0</v>
          </cell>
          <cell r="F45">
            <v>0</v>
          </cell>
          <cell r="H45">
            <v>15</v>
          </cell>
          <cell r="L45">
            <v>0</v>
          </cell>
          <cell r="M45">
            <v>0.03</v>
          </cell>
          <cell r="N45">
            <v>0.01</v>
          </cell>
          <cell r="O45">
            <v>2760</v>
          </cell>
          <cell r="Q45">
            <v>0</v>
          </cell>
          <cell r="R45">
            <v>5700</v>
          </cell>
          <cell r="S45">
            <v>1900</v>
          </cell>
          <cell r="T45">
            <v>24167.424242424244</v>
          </cell>
          <cell r="U45">
            <v>31767.424242424244</v>
          </cell>
          <cell r="V45">
            <v>2647.2853535353538</v>
          </cell>
          <cell r="W45">
            <v>11.509936319718928</v>
          </cell>
        </row>
        <row r="46">
          <cell r="C46" t="str">
            <v>Caminhão Limpa Fossa</v>
          </cell>
          <cell r="D46">
            <v>50000</v>
          </cell>
          <cell r="E46">
            <v>0</v>
          </cell>
          <cell r="F46">
            <v>0</v>
          </cell>
          <cell r="H46">
            <v>15</v>
          </cell>
          <cell r="L46">
            <v>0</v>
          </cell>
          <cell r="M46">
            <v>0.03</v>
          </cell>
          <cell r="N46">
            <v>0.01</v>
          </cell>
          <cell r="O46">
            <v>2760</v>
          </cell>
          <cell r="Q46">
            <v>0</v>
          </cell>
          <cell r="R46">
            <v>1500</v>
          </cell>
          <cell r="S46">
            <v>500</v>
          </cell>
          <cell r="T46">
            <v>6359.8484848484859</v>
          </cell>
          <cell r="U46">
            <v>8359.8484848484859</v>
          </cell>
          <cell r="V46">
            <v>696.65404040404053</v>
          </cell>
          <cell r="W46">
            <v>3.0289306104523499</v>
          </cell>
        </row>
        <row r="47">
          <cell r="E47">
            <v>0</v>
          </cell>
          <cell r="F47">
            <v>0</v>
          </cell>
          <cell r="L47">
            <v>0</v>
          </cell>
          <cell r="M47">
            <v>0.03</v>
          </cell>
          <cell r="N47">
            <v>0.01</v>
          </cell>
          <cell r="O47">
            <v>2760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</sheetData>
      <sheetData sheetId="5">
        <row r="457">
          <cell r="D457">
            <v>10</v>
          </cell>
        </row>
        <row r="458">
          <cell r="D458">
            <v>0.95</v>
          </cell>
        </row>
      </sheetData>
      <sheetData sheetId="6">
        <row r="9">
          <cell r="D9">
            <v>16.821443846765277</v>
          </cell>
          <cell r="I9">
            <v>12.5</v>
          </cell>
        </row>
        <row r="10">
          <cell r="D10">
            <v>9.387105</v>
          </cell>
          <cell r="I10">
            <v>9.387105</v>
          </cell>
        </row>
        <row r="11">
          <cell r="D11">
            <v>9.387105</v>
          </cell>
        </row>
        <row r="12">
          <cell r="D12">
            <v>9.387105</v>
          </cell>
          <cell r="I12">
            <v>10</v>
          </cell>
        </row>
        <row r="13">
          <cell r="D13">
            <v>10</v>
          </cell>
          <cell r="I13">
            <v>10</v>
          </cell>
        </row>
        <row r="14">
          <cell r="D14">
            <v>5</v>
          </cell>
        </row>
        <row r="15">
          <cell r="D15">
            <v>2.4488099999999999</v>
          </cell>
          <cell r="I15">
            <v>10</v>
          </cell>
        </row>
        <row r="16">
          <cell r="D16">
            <v>6.4135499999999999</v>
          </cell>
          <cell r="I16">
            <v>10</v>
          </cell>
        </row>
        <row r="17">
          <cell r="D17">
            <v>147.25972741978148</v>
          </cell>
        </row>
        <row r="18">
          <cell r="D18">
            <v>68.109899858415858</v>
          </cell>
        </row>
        <row r="19">
          <cell r="D19">
            <v>33.765986229574423</v>
          </cell>
        </row>
        <row r="20">
          <cell r="D20">
            <v>0.05</v>
          </cell>
        </row>
        <row r="21">
          <cell r="D21">
            <v>50</v>
          </cell>
        </row>
        <row r="22">
          <cell r="D22">
            <v>100</v>
          </cell>
        </row>
        <row r="23">
          <cell r="D23">
            <v>6</v>
          </cell>
        </row>
        <row r="33">
          <cell r="E33">
            <v>8</v>
          </cell>
        </row>
        <row r="34">
          <cell r="E34">
            <v>8</v>
          </cell>
        </row>
        <row r="35">
          <cell r="E35">
            <v>5</v>
          </cell>
        </row>
        <row r="36">
          <cell r="E36">
            <v>5</v>
          </cell>
        </row>
        <row r="43">
          <cell r="D43">
            <v>1500</v>
          </cell>
        </row>
        <row r="44">
          <cell r="D44">
            <v>2500</v>
          </cell>
        </row>
      </sheetData>
      <sheetData sheetId="7">
        <row r="9">
          <cell r="C9" t="str">
            <v>Poli Aniônico (Agua)</v>
          </cell>
          <cell r="D9">
            <v>15.89</v>
          </cell>
        </row>
        <row r="10">
          <cell r="C10" t="str">
            <v>Carvão Ativado em Pó</v>
          </cell>
          <cell r="D10">
            <v>0</v>
          </cell>
        </row>
        <row r="11">
          <cell r="C11" t="str">
            <v>Permanganato de Potássio</v>
          </cell>
          <cell r="D11">
            <v>0</v>
          </cell>
        </row>
        <row r="12">
          <cell r="C12" t="str">
            <v>Cal Hidratada (Agua)</v>
          </cell>
          <cell r="D12">
            <v>0.30399999999999999</v>
          </cell>
        </row>
        <row r="13">
          <cell r="C13" t="str">
            <v>Cal Virgem (Agua)</v>
          </cell>
          <cell r="D13">
            <v>0.28100000000000003</v>
          </cell>
        </row>
        <row r="14">
          <cell r="C14" t="str">
            <v>Ácido Fluossilícico</v>
          </cell>
          <cell r="D14">
            <v>0.58099999999999996</v>
          </cell>
        </row>
        <row r="15">
          <cell r="C15" t="str">
            <v>Cloro Gasoso (ETA)</v>
          </cell>
          <cell r="D15">
            <v>3.93</v>
          </cell>
        </row>
        <row r="16">
          <cell r="C16" t="str">
            <v>Cloro Gasoso (UTS)</v>
          </cell>
          <cell r="D16">
            <v>4.5</v>
          </cell>
        </row>
        <row r="17">
          <cell r="C17" t="str">
            <v>Hipoclorito de Sódio</v>
          </cell>
          <cell r="D17">
            <v>1.77</v>
          </cell>
        </row>
        <row r="18">
          <cell r="C18" t="str">
            <v>Policloreto de Alumínio - PAC (Coagulante)</v>
          </cell>
          <cell r="D18">
            <v>1.399</v>
          </cell>
        </row>
        <row r="19">
          <cell r="C19" t="str">
            <v>Sulfato Al Liq. (Coagulante)</v>
          </cell>
          <cell r="D19">
            <v>0.51600000000000001</v>
          </cell>
        </row>
        <row r="20">
          <cell r="C20" t="str">
            <v>Carbonato de Sodio</v>
          </cell>
          <cell r="D20">
            <v>2.35</v>
          </cell>
        </row>
        <row r="21">
          <cell r="C21" t="str">
            <v>Fluorssilicato de Sódio</v>
          </cell>
          <cell r="D21">
            <v>2.4300000000000002</v>
          </cell>
        </row>
        <row r="22">
          <cell r="C22" t="str">
            <v>Tricloro</v>
          </cell>
          <cell r="D22">
            <v>12.6</v>
          </cell>
        </row>
        <row r="23">
          <cell r="C23" t="str">
            <v>Poli Prensa (Lodo)</v>
          </cell>
          <cell r="D23">
            <v>11.99</v>
          </cell>
        </row>
        <row r="24">
          <cell r="C24" t="str">
            <v>Poli Centrífuga (Lodo)</v>
          </cell>
          <cell r="D24">
            <v>11.74</v>
          </cell>
        </row>
        <row r="25">
          <cell r="C25" t="str">
            <v>Poli Aniônico (Esgoto)</v>
          </cell>
          <cell r="D25">
            <v>10.8</v>
          </cell>
        </row>
        <row r="26">
          <cell r="C26" t="str">
            <v>Sulfato Al (Coagulante)</v>
          </cell>
          <cell r="D26">
            <v>0.41</v>
          </cell>
        </row>
        <row r="27">
          <cell r="C27" t="str">
            <v>Cloreto Férrico (Coagulante)</v>
          </cell>
          <cell r="D27">
            <v>0.72</v>
          </cell>
        </row>
        <row r="28">
          <cell r="C28" t="str">
            <v>Cal (Esgoto)</v>
          </cell>
          <cell r="D28">
            <v>0.21</v>
          </cell>
        </row>
        <row r="29">
          <cell r="C29" t="str">
            <v>Clorocal</v>
          </cell>
          <cell r="D29">
            <v>2.95</v>
          </cell>
        </row>
        <row r="32">
          <cell r="D32">
            <v>15.1</v>
          </cell>
        </row>
        <row r="33">
          <cell r="D33">
            <v>0.2</v>
          </cell>
        </row>
        <row r="34">
          <cell r="D34">
            <v>15</v>
          </cell>
        </row>
        <row r="86">
          <cell r="J86">
            <v>0.49689394445730495</v>
          </cell>
        </row>
      </sheetData>
      <sheetData sheetId="8">
        <row r="8">
          <cell r="D8">
            <v>15.1</v>
          </cell>
        </row>
        <row r="9">
          <cell r="D9">
            <v>0.2</v>
          </cell>
        </row>
        <row r="10">
          <cell r="D10">
            <v>5</v>
          </cell>
        </row>
        <row r="176">
          <cell r="M176">
            <v>0.25023519583894582</v>
          </cell>
        </row>
      </sheetData>
      <sheetData sheetId="9"/>
      <sheetData sheetId="10">
        <row r="26">
          <cell r="J26">
            <v>496222</v>
          </cell>
          <cell r="L26">
            <v>6.1499999999999999E-2</v>
          </cell>
        </row>
        <row r="39">
          <cell r="J39">
            <v>402990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D9">
            <v>3319.1813750684933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E6">
            <v>5.0370069444444434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46"/>
  <sheetViews>
    <sheetView showGridLines="0" tabSelected="1" zoomScale="80" zoomScaleNormal="80" workbookViewId="0">
      <selection activeCell="B7" sqref="B7:D7"/>
    </sheetView>
  </sheetViews>
  <sheetFormatPr defaultRowHeight="15" x14ac:dyDescent="0.25"/>
  <cols>
    <col min="1" max="1" width="4.7109375" style="10" customWidth="1"/>
    <col min="2" max="2" width="36.42578125" style="10" customWidth="1"/>
    <col min="3" max="3" width="34.140625" style="10" customWidth="1"/>
    <col min="4" max="4" width="21.42578125" style="10" customWidth="1"/>
    <col min="5" max="5" width="15" style="10" customWidth="1"/>
    <col min="6" max="6" width="29.140625" style="10" customWidth="1"/>
    <col min="7" max="7" width="35.5703125" style="10" customWidth="1"/>
    <col min="8" max="8" width="21.85546875" style="10" customWidth="1"/>
    <col min="9" max="9" width="15.42578125" style="10" customWidth="1"/>
  </cols>
  <sheetData>
    <row r="1" spans="2:10" s="10" customFormat="1" ht="14.25" x14ac:dyDescent="0.2"/>
    <row r="2" spans="2:10" s="10" customFormat="1" ht="14.25" x14ac:dyDescent="0.2"/>
    <row r="3" spans="2:10" s="10" customFormat="1" ht="18" x14ac:dyDescent="0.25">
      <c r="B3" s="335" t="s">
        <v>253</v>
      </c>
      <c r="C3" s="335"/>
      <c r="D3" s="335"/>
      <c r="E3" s="335"/>
      <c r="F3" s="335"/>
      <c r="G3" s="335"/>
      <c r="H3" s="335"/>
    </row>
    <row r="4" spans="2:10" s="10" customFormat="1" ht="18" x14ac:dyDescent="0.25">
      <c r="B4" s="164"/>
      <c r="C4" s="164"/>
      <c r="D4" s="164"/>
    </row>
    <row r="5" spans="2:10" s="10" customFormat="1" ht="14.25" x14ac:dyDescent="0.2"/>
    <row r="6" spans="2:10" s="10" customFormat="1" x14ac:dyDescent="0.25">
      <c r="B6" s="165" t="s">
        <v>249</v>
      </c>
      <c r="F6" s="165" t="s">
        <v>250</v>
      </c>
    </row>
    <row r="7" spans="2:10" s="10" customFormat="1" x14ac:dyDescent="0.2">
      <c r="B7" s="336" t="s">
        <v>169</v>
      </c>
      <c r="C7" s="336"/>
      <c r="D7" s="336"/>
      <c r="F7" s="336" t="s">
        <v>169</v>
      </c>
      <c r="G7" s="336"/>
      <c r="H7" s="336"/>
    </row>
    <row r="8" spans="2:10" s="10" customFormat="1" ht="16.5" x14ac:dyDescent="0.2">
      <c r="B8" s="166" t="s">
        <v>1</v>
      </c>
      <c r="C8" s="166" t="s">
        <v>2</v>
      </c>
      <c r="D8" s="166" t="s">
        <v>3</v>
      </c>
      <c r="F8" s="166" t="s">
        <v>1</v>
      </c>
      <c r="G8" s="166" t="s">
        <v>2</v>
      </c>
      <c r="H8" s="166" t="s">
        <v>3</v>
      </c>
    </row>
    <row r="9" spans="2:10" s="10" customFormat="1" ht="14.25" x14ac:dyDescent="0.2">
      <c r="B9" s="167" t="s">
        <v>4</v>
      </c>
      <c r="C9" s="168">
        <f>+Revisão_homologada!C10</f>
        <v>2.14</v>
      </c>
      <c r="D9" s="168">
        <f>+Revisão_homologada!D10</f>
        <v>2.86</v>
      </c>
      <c r="E9" s="169"/>
      <c r="F9" s="167" t="s">
        <v>4</v>
      </c>
      <c r="G9" s="168">
        <f t="shared" ref="G9:G14" si="0">C9*(1+$D$21)</f>
        <v>2.2062942480626915</v>
      </c>
      <c r="H9" s="170">
        <f t="shared" ref="H9:H14" si="1">D9*(1+$D$21)</f>
        <v>2.9485988548875217</v>
      </c>
      <c r="J9" s="15"/>
    </row>
    <row r="10" spans="2:10" s="10" customFormat="1" ht="14.25" x14ac:dyDescent="0.2">
      <c r="B10" s="167" t="s">
        <v>5</v>
      </c>
      <c r="C10" s="168">
        <f>+Revisão_homologada!C11</f>
        <v>4.01</v>
      </c>
      <c r="D10" s="168">
        <f>+Revisão_homologada!D11</f>
        <v>5.31</v>
      </c>
      <c r="F10" s="167" t="s">
        <v>5</v>
      </c>
      <c r="G10" s="168">
        <f t="shared" si="0"/>
        <v>4.1342242685660704</v>
      </c>
      <c r="H10" s="170">
        <f t="shared" si="1"/>
        <v>5.474496475333126</v>
      </c>
    </row>
    <row r="11" spans="2:10" s="10" customFormat="1" ht="14.25" x14ac:dyDescent="0.2">
      <c r="B11" s="167" t="s">
        <v>6</v>
      </c>
      <c r="C11" s="168">
        <f>+Revisão_homologada!C12</f>
        <v>5.25</v>
      </c>
      <c r="D11" s="168">
        <f>+Revisão_homologada!D12</f>
        <v>6.78</v>
      </c>
      <c r="F11" s="167" t="s">
        <v>6</v>
      </c>
      <c r="G11" s="170">
        <f t="shared" si="0"/>
        <v>5.4126377580977234</v>
      </c>
      <c r="H11" s="170">
        <f t="shared" si="1"/>
        <v>6.9900350476004895</v>
      </c>
    </row>
    <row r="12" spans="2:10" s="10" customFormat="1" ht="14.25" x14ac:dyDescent="0.2">
      <c r="B12" s="167" t="s">
        <v>7</v>
      </c>
      <c r="C12" s="168">
        <f>+Revisão_homologada!C13</f>
        <v>10.02</v>
      </c>
      <c r="D12" s="168">
        <f>+Revisão_homologada!D13</f>
        <v>10.96</v>
      </c>
      <c r="F12" s="167" t="s">
        <v>7</v>
      </c>
      <c r="G12" s="170">
        <f t="shared" si="0"/>
        <v>10.330405778312226</v>
      </c>
      <c r="H12" s="170">
        <f t="shared" si="1"/>
        <v>11.299525681666868</v>
      </c>
    </row>
    <row r="13" spans="2:10" s="10" customFormat="1" ht="14.25" x14ac:dyDescent="0.2">
      <c r="B13" s="167" t="s">
        <v>8</v>
      </c>
      <c r="C13" s="168">
        <f>+Revisão_homologada!C14</f>
        <v>12.09</v>
      </c>
      <c r="D13" s="168">
        <f>+Revisão_homologada!D14</f>
        <v>12.09</v>
      </c>
      <c r="F13" s="167" t="s">
        <v>8</v>
      </c>
      <c r="G13" s="170">
        <f t="shared" si="0"/>
        <v>12.464531522933616</v>
      </c>
      <c r="H13" s="170">
        <f t="shared" si="1"/>
        <v>12.464531522933616</v>
      </c>
    </row>
    <row r="14" spans="2:10" s="10" customFormat="1" ht="14.25" x14ac:dyDescent="0.2">
      <c r="B14" s="167" t="s">
        <v>9</v>
      </c>
      <c r="C14" s="168">
        <f>+Revisão_homologada!C15</f>
        <v>13.25</v>
      </c>
      <c r="D14" s="168">
        <f>+Revisão_homologada!D15</f>
        <v>13.25</v>
      </c>
      <c r="F14" s="167" t="s">
        <v>9</v>
      </c>
      <c r="G14" s="170">
        <f t="shared" si="0"/>
        <v>13.660466722818065</v>
      </c>
      <c r="H14" s="170">
        <f t="shared" si="1"/>
        <v>13.660466722818065</v>
      </c>
    </row>
    <row r="15" spans="2:10" s="10" customFormat="1" ht="14.25" x14ac:dyDescent="0.2"/>
    <row r="16" spans="2:10" s="10" customFormat="1" x14ac:dyDescent="0.2">
      <c r="B16" s="336" t="s">
        <v>170</v>
      </c>
      <c r="C16" s="336"/>
      <c r="D16" s="336"/>
      <c r="F16" s="336" t="s">
        <v>170</v>
      </c>
      <c r="G16" s="336"/>
      <c r="H16" s="336"/>
    </row>
    <row r="17" spans="1:9" s="10" customFormat="1" ht="17.25" x14ac:dyDescent="0.2">
      <c r="B17" s="166" t="s">
        <v>1</v>
      </c>
      <c r="C17" s="166" t="s">
        <v>11</v>
      </c>
      <c r="D17" s="166" t="s">
        <v>12</v>
      </c>
      <c r="F17" s="166" t="s">
        <v>171</v>
      </c>
      <c r="G17" s="166" t="s">
        <v>11</v>
      </c>
      <c r="H17" s="166" t="s">
        <v>12</v>
      </c>
    </row>
    <row r="18" spans="1:9" s="10" customFormat="1" ht="14.25" x14ac:dyDescent="0.2">
      <c r="B18" s="167" t="s">
        <v>4</v>
      </c>
      <c r="C18" s="168">
        <f>+Revisão_homologada!C19</f>
        <v>7.26</v>
      </c>
      <c r="D18" s="168">
        <f>+Revisão_homologada!D19</f>
        <v>7.26</v>
      </c>
      <c r="F18" s="167" t="s">
        <v>4</v>
      </c>
      <c r="G18" s="170">
        <f>C18*(1+$D$21)</f>
        <v>7.4849047854837094</v>
      </c>
      <c r="H18" s="170">
        <f>D18*(1+$D$21)</f>
        <v>7.4849047854837094</v>
      </c>
    </row>
    <row r="19" spans="1:9" s="10" customFormat="1" ht="14.25" x14ac:dyDescent="0.2">
      <c r="B19" s="167" t="s">
        <v>13</v>
      </c>
      <c r="C19" s="168">
        <f>+Revisão_homologada!C20</f>
        <v>12</v>
      </c>
      <c r="D19" s="168">
        <f>+Revisão_homologada!D20</f>
        <v>10.94</v>
      </c>
      <c r="F19" s="167" t="s">
        <v>13</v>
      </c>
      <c r="G19" s="170">
        <f>C19*(1+$D$21)</f>
        <v>12.371743447080512</v>
      </c>
      <c r="H19" s="170">
        <f>D19*(1+$D$21)</f>
        <v>11.278906109255066</v>
      </c>
    </row>
    <row r="20" spans="1:9" s="10" customFormat="1" ht="14.25" x14ac:dyDescent="0.2">
      <c r="F20" s="171"/>
      <c r="G20" s="171"/>
      <c r="H20" s="171"/>
    </row>
    <row r="21" spans="1:9" s="171" customFormat="1" x14ac:dyDescent="0.25">
      <c r="B21" s="333" t="s">
        <v>259</v>
      </c>
      <c r="C21" s="334"/>
      <c r="D21" s="172">
        <f>+'IRT 2017'!D34</f>
        <v>3.0978620590042638E-2</v>
      </c>
    </row>
    <row r="22" spans="1:9" s="171" customFormat="1" x14ac:dyDescent="0.25">
      <c r="B22" s="173"/>
      <c r="C22" s="174"/>
      <c r="D22" s="175"/>
    </row>
    <row r="23" spans="1:9" x14ac:dyDescent="0.25">
      <c r="A23"/>
      <c r="C23" s="176"/>
      <c r="D23" s="176"/>
      <c r="E23" s="177"/>
      <c r="G23"/>
      <c r="H23"/>
      <c r="I23"/>
    </row>
    <row r="24" spans="1:9" x14ac:dyDescent="0.25">
      <c r="A24"/>
      <c r="C24" s="176"/>
      <c r="D24" s="176"/>
      <c r="E24" s="177"/>
      <c r="G24"/>
      <c r="H24"/>
      <c r="I24"/>
    </row>
    <row r="25" spans="1:9" x14ac:dyDescent="0.25">
      <c r="A25"/>
      <c r="D25" s="177"/>
      <c r="E25" s="177"/>
      <c r="G25"/>
      <c r="H25"/>
      <c r="I25"/>
    </row>
    <row r="26" spans="1:9" x14ac:dyDescent="0.25">
      <c r="A26"/>
      <c r="D26" s="177"/>
      <c r="E26" s="177"/>
      <c r="G26"/>
      <c r="H26"/>
      <c r="I26"/>
    </row>
    <row r="27" spans="1:9" x14ac:dyDescent="0.25">
      <c r="A27"/>
      <c r="D27" s="177"/>
      <c r="E27" s="177"/>
      <c r="G27"/>
      <c r="H27"/>
      <c r="I27"/>
    </row>
    <row r="28" spans="1:9" x14ac:dyDescent="0.25">
      <c r="A28"/>
      <c r="D28" s="177"/>
      <c r="E28" s="177"/>
      <c r="G28"/>
      <c r="H28"/>
      <c r="I28"/>
    </row>
    <row r="29" spans="1:9" x14ac:dyDescent="0.25">
      <c r="A29"/>
      <c r="D29" s="177"/>
      <c r="E29" s="177"/>
      <c r="G29"/>
      <c r="H29"/>
      <c r="I29"/>
    </row>
    <row r="30" spans="1:9" x14ac:dyDescent="0.25">
      <c r="A30"/>
      <c r="D30" s="177"/>
      <c r="E30" s="177"/>
      <c r="G30"/>
      <c r="H30"/>
      <c r="I30"/>
    </row>
    <row r="31" spans="1:9" ht="15" customHeight="1" x14ac:dyDescent="0.25">
      <c r="A31"/>
      <c r="D31" s="177"/>
      <c r="E31" s="177"/>
      <c r="G31"/>
      <c r="H31"/>
      <c r="I31"/>
    </row>
    <row r="32" spans="1:9" x14ac:dyDescent="0.25">
      <c r="A32"/>
      <c r="D32" s="177"/>
      <c r="E32" s="177"/>
      <c r="G32"/>
      <c r="H32"/>
      <c r="I32"/>
    </row>
    <row r="33" spans="1:11" x14ac:dyDescent="0.25">
      <c r="A33"/>
      <c r="D33" s="177"/>
      <c r="E33" s="177"/>
      <c r="G33"/>
      <c r="H33"/>
      <c r="I33"/>
    </row>
    <row r="34" spans="1:11" x14ac:dyDescent="0.25">
      <c r="G34"/>
      <c r="H34"/>
      <c r="I34"/>
    </row>
    <row r="36" spans="1:11" x14ac:dyDescent="0.25">
      <c r="A36"/>
      <c r="B36"/>
      <c r="C36"/>
      <c r="D36"/>
      <c r="E36"/>
      <c r="F36"/>
      <c r="G36"/>
      <c r="H36"/>
      <c r="I36"/>
      <c r="J36" s="178"/>
      <c r="K36" s="178"/>
    </row>
    <row r="37" spans="1:11" x14ac:dyDescent="0.25">
      <c r="A37"/>
      <c r="B37"/>
      <c r="C37"/>
      <c r="D37"/>
      <c r="E37"/>
      <c r="F37"/>
      <c r="G37"/>
      <c r="H37"/>
      <c r="I37"/>
      <c r="J37" s="178"/>
      <c r="K37" s="178"/>
    </row>
    <row r="38" spans="1:11" x14ac:dyDescent="0.25">
      <c r="A38"/>
      <c r="B38"/>
      <c r="C38"/>
      <c r="D38"/>
      <c r="E38"/>
      <c r="F38"/>
      <c r="G38"/>
      <c r="H38"/>
      <c r="I38"/>
      <c r="J38" s="178"/>
      <c r="K38" s="178"/>
    </row>
    <row r="39" spans="1:11" x14ac:dyDescent="0.25">
      <c r="A39"/>
      <c r="B39"/>
      <c r="C39"/>
      <c r="D39"/>
      <c r="E39"/>
      <c r="F39"/>
      <c r="G39"/>
      <c r="H39"/>
      <c r="I39"/>
      <c r="J39" s="178"/>
      <c r="K39" s="178"/>
    </row>
    <row r="40" spans="1:11" x14ac:dyDescent="0.25">
      <c r="A40"/>
      <c r="B40"/>
      <c r="C40"/>
      <c r="D40"/>
      <c r="E40"/>
      <c r="F40"/>
      <c r="G40"/>
      <c r="H40"/>
      <c r="I40"/>
      <c r="J40" s="178"/>
      <c r="K40" s="178"/>
    </row>
    <row r="41" spans="1:11" x14ac:dyDescent="0.25">
      <c r="A41"/>
      <c r="B41"/>
      <c r="C41"/>
      <c r="D41"/>
      <c r="E41"/>
      <c r="F41"/>
      <c r="G41"/>
      <c r="H41"/>
      <c r="I41"/>
      <c r="J41" s="178"/>
      <c r="K41" s="178"/>
    </row>
    <row r="42" spans="1:11" x14ac:dyDescent="0.25">
      <c r="A42"/>
      <c r="B42"/>
      <c r="C42"/>
      <c r="D42"/>
      <c r="E42"/>
      <c r="F42"/>
      <c r="G42"/>
      <c r="H42"/>
      <c r="I42"/>
      <c r="J42" s="178"/>
      <c r="K42" s="178"/>
    </row>
    <row r="43" spans="1:11" x14ac:dyDescent="0.25">
      <c r="A43"/>
      <c r="B43"/>
      <c r="C43"/>
      <c r="D43"/>
      <c r="E43"/>
      <c r="F43"/>
      <c r="G43"/>
      <c r="H43"/>
      <c r="I43"/>
      <c r="J43" s="178"/>
      <c r="K43" s="178"/>
    </row>
    <row r="44" spans="1:11" x14ac:dyDescent="0.25">
      <c r="A44"/>
      <c r="B44"/>
      <c r="C44"/>
      <c r="D44"/>
      <c r="E44"/>
      <c r="F44"/>
      <c r="G44"/>
      <c r="H44"/>
      <c r="I44"/>
      <c r="J44" s="178"/>
      <c r="K44" s="178"/>
    </row>
    <row r="45" spans="1:11" x14ac:dyDescent="0.25">
      <c r="A45"/>
      <c r="B45"/>
      <c r="C45"/>
      <c r="D45"/>
      <c r="E45"/>
      <c r="F45"/>
      <c r="G45"/>
      <c r="H45"/>
      <c r="I45"/>
      <c r="J45" s="178"/>
      <c r="K45" s="178"/>
    </row>
    <row r="46" spans="1:11" x14ac:dyDescent="0.25">
      <c r="A46"/>
      <c r="B46"/>
      <c r="C46"/>
      <c r="D46"/>
      <c r="E46"/>
      <c r="F46"/>
      <c r="G46"/>
      <c r="H46"/>
      <c r="I46"/>
      <c r="J46" s="178"/>
      <c r="K46" s="178"/>
    </row>
  </sheetData>
  <mergeCells count="6">
    <mergeCell ref="B21:C21"/>
    <mergeCell ref="B3:H3"/>
    <mergeCell ref="B7:D7"/>
    <mergeCell ref="F7:H7"/>
    <mergeCell ref="B16:D16"/>
    <mergeCell ref="F16:H1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6"/>
  <sheetViews>
    <sheetView showGridLines="0" zoomScale="90" zoomScaleNormal="90" workbookViewId="0"/>
  </sheetViews>
  <sheetFormatPr defaultColWidth="8.85546875" defaultRowHeight="14.25" x14ac:dyDescent="0.2"/>
  <cols>
    <col min="1" max="1" width="3.140625" style="10" customWidth="1"/>
    <col min="2" max="2" width="19.28515625" style="10" customWidth="1"/>
    <col min="3" max="3" width="14.140625" style="10" customWidth="1"/>
    <col min="4" max="4" width="11.5703125" style="10" bestFit="1" customWidth="1"/>
    <col min="5" max="5" width="12.5703125" style="10" customWidth="1"/>
    <col min="6" max="6" width="12" style="10" bestFit="1" customWidth="1"/>
    <col min="7" max="7" width="12.28515625" style="10" customWidth="1"/>
    <col min="8" max="8" width="13.5703125" style="10" customWidth="1"/>
    <col min="9" max="9" width="12" style="10" bestFit="1" customWidth="1"/>
    <col min="10" max="10" width="11.5703125" style="10" bestFit="1" customWidth="1"/>
    <col min="11" max="11" width="12" style="10" bestFit="1" customWidth="1"/>
    <col min="12" max="13" width="11.5703125" style="10" bestFit="1" customWidth="1"/>
    <col min="14" max="15" width="12" style="10" bestFit="1" customWidth="1"/>
    <col min="16" max="16" width="12.7109375" style="10" bestFit="1" customWidth="1"/>
    <col min="17" max="17" width="8.85546875" style="10"/>
    <col min="18" max="18" width="12.7109375" style="10" bestFit="1" customWidth="1"/>
    <col min="19" max="16384" width="8.85546875" style="10"/>
  </cols>
  <sheetData>
    <row r="1" spans="1:16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8" x14ac:dyDescent="0.2">
      <c r="A4" s="9"/>
      <c r="B4" s="9"/>
      <c r="C4" s="9"/>
      <c r="D4" s="9"/>
      <c r="E4" s="9"/>
      <c r="F4" s="36" t="s">
        <v>233</v>
      </c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17.25" x14ac:dyDescent="0.2">
      <c r="A8" s="9"/>
      <c r="B8" s="384" t="s">
        <v>45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</row>
    <row r="9" spans="1:16" ht="15" x14ac:dyDescent="0.2">
      <c r="A9" s="9"/>
      <c r="B9" s="387"/>
      <c r="C9" s="388"/>
      <c r="D9" s="37">
        <v>42370</v>
      </c>
      <c r="E9" s="37">
        <f>+D9+31</f>
        <v>42401</v>
      </c>
      <c r="F9" s="37">
        <f t="shared" ref="F9:O9" si="0">+E9+31</f>
        <v>42432</v>
      </c>
      <c r="G9" s="37">
        <f t="shared" si="0"/>
        <v>42463</v>
      </c>
      <c r="H9" s="37">
        <f t="shared" si="0"/>
        <v>42494</v>
      </c>
      <c r="I9" s="37">
        <f t="shared" si="0"/>
        <v>42525</v>
      </c>
      <c r="J9" s="37">
        <f t="shared" si="0"/>
        <v>42556</v>
      </c>
      <c r="K9" s="37">
        <f t="shared" si="0"/>
        <v>42587</v>
      </c>
      <c r="L9" s="37">
        <f t="shared" si="0"/>
        <v>42618</v>
      </c>
      <c r="M9" s="37">
        <f t="shared" si="0"/>
        <v>42649</v>
      </c>
      <c r="N9" s="37">
        <f t="shared" si="0"/>
        <v>42680</v>
      </c>
      <c r="O9" s="37">
        <f t="shared" si="0"/>
        <v>42711</v>
      </c>
      <c r="P9" s="26" t="s">
        <v>46</v>
      </c>
    </row>
    <row r="10" spans="1:16" x14ac:dyDescent="0.2">
      <c r="A10" s="9"/>
      <c r="B10" s="389" t="s">
        <v>47</v>
      </c>
      <c r="C10" s="390"/>
      <c r="D10" s="209">
        <v>19729750.100000001</v>
      </c>
      <c r="E10" s="209">
        <v>19737508.300000001</v>
      </c>
      <c r="F10" s="209">
        <v>20964557.5</v>
      </c>
      <c r="G10" s="209">
        <v>21178456</v>
      </c>
      <c r="H10" s="209">
        <v>21452307</v>
      </c>
      <c r="I10" s="209">
        <v>20888017</v>
      </c>
      <c r="J10" s="209">
        <v>21588751</v>
      </c>
      <c r="K10" s="209">
        <v>21826427</v>
      </c>
      <c r="L10" s="209">
        <v>21628179</v>
      </c>
      <c r="M10" s="209">
        <v>21115944</v>
      </c>
      <c r="N10" s="209">
        <v>19507088</v>
      </c>
      <c r="O10" s="209">
        <v>20066127</v>
      </c>
      <c r="P10" s="38">
        <f>SUM(D10:O10)</f>
        <v>249683111.90000001</v>
      </c>
    </row>
    <row r="11" spans="1:16" x14ac:dyDescent="0.2">
      <c r="A11" s="9"/>
      <c r="B11" s="389" t="s">
        <v>48</v>
      </c>
      <c r="C11" s="390"/>
      <c r="D11" s="209">
        <v>12744879</v>
      </c>
      <c r="E11" s="209">
        <v>11520231</v>
      </c>
      <c r="F11" s="209">
        <v>12931000</v>
      </c>
      <c r="G11" s="209">
        <v>11221725</v>
      </c>
      <c r="H11" s="209">
        <v>10935384</v>
      </c>
      <c r="I11" s="209">
        <v>10303306</v>
      </c>
      <c r="J11" s="209">
        <v>10856619</v>
      </c>
      <c r="K11" s="209">
        <v>10816330</v>
      </c>
      <c r="L11" s="209">
        <v>10991880</v>
      </c>
      <c r="M11" s="209">
        <v>11196336</v>
      </c>
      <c r="N11" s="209">
        <v>11144828</v>
      </c>
      <c r="O11" s="209">
        <v>11262785</v>
      </c>
      <c r="P11" s="38">
        <f>SUM(D11:O11)</f>
        <v>135925303</v>
      </c>
    </row>
    <row r="12" spans="1:16" ht="15" x14ac:dyDescent="0.2">
      <c r="A12" s="9"/>
      <c r="B12" s="391" t="s">
        <v>23</v>
      </c>
      <c r="C12" s="392"/>
      <c r="D12" s="39">
        <f t="shared" ref="D12:O12" si="1">SUM(D10:D11)</f>
        <v>32474629.100000001</v>
      </c>
      <c r="E12" s="40">
        <f t="shared" si="1"/>
        <v>31257739.300000001</v>
      </c>
      <c r="F12" s="40">
        <f t="shared" si="1"/>
        <v>33895557.5</v>
      </c>
      <c r="G12" s="40">
        <f t="shared" si="1"/>
        <v>32400181</v>
      </c>
      <c r="H12" s="40">
        <f t="shared" si="1"/>
        <v>32387691</v>
      </c>
      <c r="I12" s="40">
        <f t="shared" si="1"/>
        <v>31191323</v>
      </c>
      <c r="J12" s="40">
        <f t="shared" si="1"/>
        <v>32445370</v>
      </c>
      <c r="K12" s="40">
        <f t="shared" si="1"/>
        <v>32642757</v>
      </c>
      <c r="L12" s="40">
        <f t="shared" si="1"/>
        <v>32620059</v>
      </c>
      <c r="M12" s="40">
        <f t="shared" si="1"/>
        <v>32312280</v>
      </c>
      <c r="N12" s="40">
        <f t="shared" si="1"/>
        <v>30651916</v>
      </c>
      <c r="O12" s="40">
        <f t="shared" si="1"/>
        <v>31328912</v>
      </c>
      <c r="P12" s="40">
        <f>SUM(P10:P11)</f>
        <v>385608414.89999998</v>
      </c>
    </row>
    <row r="13" spans="1:16" ht="15" x14ac:dyDescent="0.25">
      <c r="A13" s="9"/>
      <c r="B13" s="41"/>
      <c r="C13" s="41"/>
      <c r="D13" s="41"/>
      <c r="E13" s="9"/>
      <c r="F13" s="41"/>
      <c r="G13" s="41"/>
      <c r="H13" s="41"/>
      <c r="I13" s="41"/>
      <c r="J13" s="41"/>
      <c r="K13" s="42"/>
      <c r="L13" s="9"/>
      <c r="M13" s="9"/>
      <c r="N13" s="9"/>
      <c r="O13" s="9"/>
      <c r="P13" s="9"/>
    </row>
    <row r="14" spans="1:16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ht="18" x14ac:dyDescent="0.2">
      <c r="A17" s="9"/>
      <c r="B17" s="9"/>
      <c r="C17" s="9"/>
      <c r="D17" s="9"/>
      <c r="E17" s="9"/>
      <c r="F17" s="36" t="s">
        <v>232</v>
      </c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7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ht="15" x14ac:dyDescent="0.25">
      <c r="A20" s="9"/>
      <c r="B20" s="41"/>
      <c r="C20" s="41"/>
      <c r="D20" s="41"/>
      <c r="E20" s="9"/>
      <c r="F20" s="41"/>
      <c r="G20" s="41"/>
      <c r="H20" s="41"/>
      <c r="I20" s="41"/>
      <c r="J20" s="41"/>
      <c r="K20" s="42"/>
      <c r="L20" s="9"/>
      <c r="M20" s="9"/>
      <c r="N20" s="9"/>
      <c r="O20" s="9"/>
      <c r="P20" s="9"/>
    </row>
    <row r="21" spans="1:17" ht="17.25" x14ac:dyDescent="0.2">
      <c r="A21" s="9"/>
      <c r="B21" s="377" t="s">
        <v>49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</row>
    <row r="22" spans="1:17" ht="15" x14ac:dyDescent="0.2">
      <c r="A22" s="9"/>
      <c r="B22" s="25" t="s">
        <v>21</v>
      </c>
      <c r="C22" s="25" t="s">
        <v>22</v>
      </c>
      <c r="D22" s="26">
        <f>+D9</f>
        <v>42370</v>
      </c>
      <c r="E22" s="26">
        <f t="shared" ref="E22:O22" si="2">+E9</f>
        <v>42401</v>
      </c>
      <c r="F22" s="26">
        <f t="shared" si="2"/>
        <v>42432</v>
      </c>
      <c r="G22" s="26">
        <f t="shared" si="2"/>
        <v>42463</v>
      </c>
      <c r="H22" s="26">
        <f t="shared" si="2"/>
        <v>42494</v>
      </c>
      <c r="I22" s="26">
        <f t="shared" si="2"/>
        <v>42525</v>
      </c>
      <c r="J22" s="26">
        <f t="shared" si="2"/>
        <v>42556</v>
      </c>
      <c r="K22" s="26">
        <f t="shared" si="2"/>
        <v>42587</v>
      </c>
      <c r="L22" s="26">
        <f t="shared" si="2"/>
        <v>42618</v>
      </c>
      <c r="M22" s="26">
        <f t="shared" si="2"/>
        <v>42649</v>
      </c>
      <c r="N22" s="26">
        <f t="shared" si="2"/>
        <v>42680</v>
      </c>
      <c r="O22" s="26">
        <f t="shared" si="2"/>
        <v>42711</v>
      </c>
      <c r="P22" s="26" t="s">
        <v>46</v>
      </c>
    </row>
    <row r="23" spans="1:17" x14ac:dyDescent="0.2">
      <c r="A23" s="9"/>
      <c r="B23" s="386" t="s">
        <v>24</v>
      </c>
      <c r="C23" s="27" t="s">
        <v>25</v>
      </c>
      <c r="D23" s="210">
        <v>5266060</v>
      </c>
      <c r="E23" s="210">
        <v>5638821</v>
      </c>
      <c r="F23" s="210">
        <v>5410160</v>
      </c>
      <c r="G23" s="210">
        <v>5231864</v>
      </c>
      <c r="H23" s="210">
        <v>5161577</v>
      </c>
      <c r="I23" s="210">
        <v>5259951</v>
      </c>
      <c r="J23" s="210">
        <v>5370805</v>
      </c>
      <c r="K23" s="210">
        <v>5200732</v>
      </c>
      <c r="L23" s="210">
        <v>4886951</v>
      </c>
      <c r="M23" s="210">
        <v>5378254</v>
      </c>
      <c r="N23" s="210">
        <v>5878941</v>
      </c>
      <c r="O23" s="210">
        <v>5988476</v>
      </c>
      <c r="P23" s="28">
        <f>SUM(D23:O23)</f>
        <v>64672592</v>
      </c>
      <c r="Q23" s="43"/>
    </row>
    <row r="24" spans="1:17" x14ac:dyDescent="0.2">
      <c r="A24" s="9"/>
      <c r="B24" s="386"/>
      <c r="C24" s="27" t="s">
        <v>5</v>
      </c>
      <c r="D24" s="210">
        <v>2933811</v>
      </c>
      <c r="E24" s="210">
        <v>2844061</v>
      </c>
      <c r="F24" s="210">
        <v>2899609</v>
      </c>
      <c r="G24" s="210">
        <v>2958285</v>
      </c>
      <c r="H24" s="210">
        <v>2974162</v>
      </c>
      <c r="I24" s="210">
        <v>2921763</v>
      </c>
      <c r="J24" s="210">
        <v>2851500</v>
      </c>
      <c r="K24" s="210">
        <v>2958952</v>
      </c>
      <c r="L24" s="210">
        <v>3067061</v>
      </c>
      <c r="M24" s="210">
        <v>2923268</v>
      </c>
      <c r="N24" s="210">
        <v>2770907</v>
      </c>
      <c r="O24" s="210">
        <v>2718619</v>
      </c>
      <c r="P24" s="28">
        <f t="shared" ref="P24:P50" si="3">SUM(D24:O24)</f>
        <v>34821998</v>
      </c>
    </row>
    <row r="25" spans="1:17" x14ac:dyDescent="0.2">
      <c r="A25" s="9"/>
      <c r="B25" s="386"/>
      <c r="C25" s="27" t="s">
        <v>6</v>
      </c>
      <c r="D25" s="210">
        <v>3135863</v>
      </c>
      <c r="E25" s="210">
        <v>2726516</v>
      </c>
      <c r="F25" s="210">
        <v>3018669</v>
      </c>
      <c r="G25" s="210">
        <v>3202371</v>
      </c>
      <c r="H25" s="210">
        <v>3256261</v>
      </c>
      <c r="I25" s="210">
        <v>3159771</v>
      </c>
      <c r="J25" s="210">
        <v>3096567</v>
      </c>
      <c r="K25" s="210">
        <v>3173830</v>
      </c>
      <c r="L25" s="210">
        <v>3556513</v>
      </c>
      <c r="M25" s="210">
        <v>3087131</v>
      </c>
      <c r="N25" s="210">
        <v>2554790</v>
      </c>
      <c r="O25" s="210">
        <v>2424849</v>
      </c>
      <c r="P25" s="28">
        <f t="shared" si="3"/>
        <v>36393131</v>
      </c>
    </row>
    <row r="26" spans="1:17" x14ac:dyDescent="0.2">
      <c r="A26" s="9"/>
      <c r="B26" s="386"/>
      <c r="C26" s="27" t="s">
        <v>7</v>
      </c>
      <c r="D26" s="210">
        <v>833975</v>
      </c>
      <c r="E26" s="210">
        <v>680491</v>
      </c>
      <c r="F26" s="210">
        <v>768628</v>
      </c>
      <c r="G26" s="210">
        <v>845348</v>
      </c>
      <c r="H26" s="210">
        <v>934563</v>
      </c>
      <c r="I26" s="210">
        <v>912739</v>
      </c>
      <c r="J26" s="210">
        <v>870004</v>
      </c>
      <c r="K26" s="210">
        <v>946859</v>
      </c>
      <c r="L26" s="210">
        <v>1093314</v>
      </c>
      <c r="M26" s="210">
        <v>838723</v>
      </c>
      <c r="N26" s="210">
        <v>630781</v>
      </c>
      <c r="O26" s="210">
        <v>608643</v>
      </c>
      <c r="P26" s="28">
        <f t="shared" si="3"/>
        <v>9964068</v>
      </c>
    </row>
    <row r="27" spans="1:17" x14ac:dyDescent="0.2">
      <c r="A27" s="9"/>
      <c r="B27" s="386"/>
      <c r="C27" s="27" t="s">
        <v>26</v>
      </c>
      <c r="D27" s="210">
        <v>369897</v>
      </c>
      <c r="E27" s="210">
        <v>330863</v>
      </c>
      <c r="F27" s="210">
        <v>349508</v>
      </c>
      <c r="G27" s="210">
        <v>425923</v>
      </c>
      <c r="H27" s="210">
        <v>444036</v>
      </c>
      <c r="I27" s="210">
        <v>487956</v>
      </c>
      <c r="J27" s="210">
        <v>474450</v>
      </c>
      <c r="K27" s="210">
        <v>519717</v>
      </c>
      <c r="L27" s="210">
        <v>571216</v>
      </c>
      <c r="M27" s="210">
        <v>413891</v>
      </c>
      <c r="N27" s="210">
        <v>294258</v>
      </c>
      <c r="O27" s="210">
        <v>288150</v>
      </c>
      <c r="P27" s="28">
        <f t="shared" si="3"/>
        <v>4969865</v>
      </c>
    </row>
    <row r="28" spans="1:17" x14ac:dyDescent="0.2">
      <c r="A28" s="9"/>
      <c r="B28" s="386"/>
      <c r="C28" s="27" t="s">
        <v>27</v>
      </c>
      <c r="D28" s="210">
        <v>153707</v>
      </c>
      <c r="E28" s="210">
        <v>149162</v>
      </c>
      <c r="F28" s="210">
        <v>160051</v>
      </c>
      <c r="G28" s="210">
        <v>198001</v>
      </c>
      <c r="H28" s="210">
        <v>203656</v>
      </c>
      <c r="I28" s="210">
        <v>230374</v>
      </c>
      <c r="J28" s="210">
        <v>243756</v>
      </c>
      <c r="K28" s="210">
        <v>263987</v>
      </c>
      <c r="L28" s="210">
        <v>279349</v>
      </c>
      <c r="M28" s="210">
        <v>188273</v>
      </c>
      <c r="N28" s="210">
        <v>118761</v>
      </c>
      <c r="O28" s="210">
        <v>125006</v>
      </c>
      <c r="P28" s="28">
        <f t="shared" si="3"/>
        <v>2314083</v>
      </c>
    </row>
    <row r="29" spans="1:17" x14ac:dyDescent="0.2">
      <c r="A29" s="9"/>
      <c r="B29" s="386"/>
      <c r="C29" s="27" t="s">
        <v>28</v>
      </c>
      <c r="D29" s="210">
        <v>79069</v>
      </c>
      <c r="E29" s="210">
        <v>75076</v>
      </c>
      <c r="F29" s="210">
        <v>80324</v>
      </c>
      <c r="G29" s="210">
        <v>100299</v>
      </c>
      <c r="H29" s="210">
        <v>118540</v>
      </c>
      <c r="I29" s="210">
        <v>123051</v>
      </c>
      <c r="J29" s="210">
        <v>137735</v>
      </c>
      <c r="K29" s="210">
        <v>146926</v>
      </c>
      <c r="L29" s="210">
        <v>146148</v>
      </c>
      <c r="M29" s="210">
        <v>91539</v>
      </c>
      <c r="N29" s="210">
        <v>62251</v>
      </c>
      <c r="O29" s="210">
        <v>59919</v>
      </c>
      <c r="P29" s="28">
        <f t="shared" si="3"/>
        <v>1220877</v>
      </c>
    </row>
    <row r="30" spans="1:17" x14ac:dyDescent="0.2">
      <c r="A30" s="9"/>
      <c r="B30" s="386"/>
      <c r="C30" s="27" t="s">
        <v>29</v>
      </c>
      <c r="D30" s="210">
        <v>209883</v>
      </c>
      <c r="E30" s="210">
        <v>172079</v>
      </c>
      <c r="F30" s="210">
        <v>136669</v>
      </c>
      <c r="G30" s="210">
        <v>187584</v>
      </c>
      <c r="H30" s="210">
        <v>286872</v>
      </c>
      <c r="I30" s="210">
        <v>233376</v>
      </c>
      <c r="J30" s="210">
        <v>229563</v>
      </c>
      <c r="K30" s="210">
        <v>257187</v>
      </c>
      <c r="L30" s="210">
        <v>246162</v>
      </c>
      <c r="M30" s="210">
        <v>210815</v>
      </c>
      <c r="N30" s="210">
        <v>153593</v>
      </c>
      <c r="O30" s="210">
        <v>149050</v>
      </c>
      <c r="P30" s="28">
        <f t="shared" si="3"/>
        <v>2472833</v>
      </c>
    </row>
    <row r="31" spans="1:17" ht="15" x14ac:dyDescent="0.2">
      <c r="A31" s="9"/>
      <c r="B31" s="381" t="s">
        <v>30</v>
      </c>
      <c r="C31" s="381"/>
      <c r="D31" s="29">
        <f t="shared" ref="D31:O31" si="4" xml:space="preserve"> SUM(D23:D30)</f>
        <v>12982265</v>
      </c>
      <c r="E31" s="29">
        <f t="shared" si="4"/>
        <v>12617069</v>
      </c>
      <c r="F31" s="29">
        <f t="shared" si="4"/>
        <v>12823618</v>
      </c>
      <c r="G31" s="29">
        <f t="shared" si="4"/>
        <v>13149675</v>
      </c>
      <c r="H31" s="29">
        <f t="shared" si="4"/>
        <v>13379667</v>
      </c>
      <c r="I31" s="29">
        <f t="shared" si="4"/>
        <v>13328981</v>
      </c>
      <c r="J31" s="29">
        <f t="shared" si="4"/>
        <v>13274380</v>
      </c>
      <c r="K31" s="29">
        <f t="shared" si="4"/>
        <v>13468190</v>
      </c>
      <c r="L31" s="29">
        <f t="shared" si="4"/>
        <v>13846714</v>
      </c>
      <c r="M31" s="29">
        <f t="shared" si="4"/>
        <v>13131894</v>
      </c>
      <c r="N31" s="29">
        <f t="shared" si="4"/>
        <v>12464282</v>
      </c>
      <c r="O31" s="29">
        <f t="shared" si="4"/>
        <v>12362712</v>
      </c>
      <c r="P31" s="29">
        <f t="shared" si="3"/>
        <v>156829447</v>
      </c>
    </row>
    <row r="32" spans="1:17" x14ac:dyDescent="0.2">
      <c r="A32" s="9"/>
      <c r="B32" s="386" t="s">
        <v>31</v>
      </c>
      <c r="C32" s="27" t="s">
        <v>32</v>
      </c>
      <c r="D32" s="210">
        <v>7731</v>
      </c>
      <c r="E32" s="210">
        <v>8130</v>
      </c>
      <c r="F32" s="210">
        <v>8100</v>
      </c>
      <c r="G32" s="210">
        <v>22174</v>
      </c>
      <c r="H32" s="210">
        <v>22191</v>
      </c>
      <c r="I32" s="210">
        <v>22230</v>
      </c>
      <c r="J32" s="210">
        <v>24400</v>
      </c>
      <c r="K32" s="210">
        <v>24371</v>
      </c>
      <c r="L32" s="210">
        <v>24211</v>
      </c>
      <c r="M32" s="210">
        <v>24420</v>
      </c>
      <c r="N32" s="210">
        <v>46980</v>
      </c>
      <c r="O32" s="210">
        <v>90780</v>
      </c>
      <c r="P32" s="30">
        <f t="shared" si="3"/>
        <v>325718</v>
      </c>
    </row>
    <row r="33" spans="1:16" x14ac:dyDescent="0.2">
      <c r="A33" s="9"/>
      <c r="B33" s="386"/>
      <c r="C33" s="27" t="s">
        <v>33</v>
      </c>
      <c r="D33" s="210">
        <v>3775</v>
      </c>
      <c r="E33" s="210">
        <v>3433</v>
      </c>
      <c r="F33" s="210">
        <v>3209</v>
      </c>
      <c r="G33" s="210">
        <v>669</v>
      </c>
      <c r="H33" s="210">
        <v>3346</v>
      </c>
      <c r="I33" s="210">
        <v>3243</v>
      </c>
      <c r="J33" s="210">
        <v>828</v>
      </c>
      <c r="K33" s="210">
        <v>3393</v>
      </c>
      <c r="L33" s="210">
        <v>996</v>
      </c>
      <c r="M33" s="210">
        <v>3506</v>
      </c>
      <c r="N33" s="210">
        <v>3070</v>
      </c>
      <c r="O33" s="210">
        <v>702</v>
      </c>
      <c r="P33" s="31">
        <f t="shared" si="3"/>
        <v>30170</v>
      </c>
    </row>
    <row r="34" spans="1:16" x14ac:dyDescent="0.2">
      <c r="A34" s="9"/>
      <c r="B34" s="386"/>
      <c r="C34" s="27" t="s">
        <v>34</v>
      </c>
      <c r="D34" s="210">
        <v>924</v>
      </c>
      <c r="E34" s="210">
        <v>785</v>
      </c>
      <c r="F34" s="210">
        <v>915</v>
      </c>
      <c r="G34" s="210">
        <v>3952</v>
      </c>
      <c r="H34" s="210">
        <v>916</v>
      </c>
      <c r="I34" s="210">
        <v>880</v>
      </c>
      <c r="J34" s="210">
        <v>3617</v>
      </c>
      <c r="K34" s="210">
        <v>969</v>
      </c>
      <c r="L34" s="210">
        <v>3981</v>
      </c>
      <c r="M34" s="210">
        <v>809</v>
      </c>
      <c r="N34" s="210">
        <v>767</v>
      </c>
      <c r="O34" s="210">
        <v>3542</v>
      </c>
      <c r="P34" s="30">
        <f t="shared" si="3"/>
        <v>22057</v>
      </c>
    </row>
    <row r="35" spans="1:16" x14ac:dyDescent="0.2">
      <c r="A35" s="9"/>
      <c r="B35" s="386"/>
      <c r="C35" s="27" t="s">
        <v>35</v>
      </c>
      <c r="D35" s="210">
        <v>230</v>
      </c>
      <c r="E35" s="210">
        <v>56</v>
      </c>
      <c r="F35" s="210">
        <v>98</v>
      </c>
      <c r="G35" s="210">
        <v>199</v>
      </c>
      <c r="H35" s="210">
        <v>211</v>
      </c>
      <c r="I35" s="210">
        <v>313</v>
      </c>
      <c r="J35" s="210">
        <v>173</v>
      </c>
      <c r="K35" s="210">
        <v>121</v>
      </c>
      <c r="L35" s="210">
        <v>241</v>
      </c>
      <c r="M35" s="210">
        <v>150</v>
      </c>
      <c r="N35" s="210">
        <v>122</v>
      </c>
      <c r="O35" s="210">
        <v>63</v>
      </c>
      <c r="P35" s="31">
        <f t="shared" si="3"/>
        <v>1977</v>
      </c>
    </row>
    <row r="36" spans="1:16" x14ac:dyDescent="0.2">
      <c r="A36" s="9"/>
      <c r="B36" s="386"/>
      <c r="C36" s="27" t="s">
        <v>36</v>
      </c>
      <c r="D36" s="210">
        <v>0</v>
      </c>
      <c r="E36" s="210">
        <v>38</v>
      </c>
      <c r="F36" s="210">
        <v>0</v>
      </c>
      <c r="G36" s="210">
        <v>110</v>
      </c>
      <c r="H36" s="210">
        <v>0</v>
      </c>
      <c r="I36" s="210">
        <v>110</v>
      </c>
      <c r="J36" s="210">
        <v>133</v>
      </c>
      <c r="K36" s="210">
        <v>0</v>
      </c>
      <c r="L36" s="210">
        <v>0</v>
      </c>
      <c r="M36" s="210">
        <v>43</v>
      </c>
      <c r="N36" s="210">
        <v>0</v>
      </c>
      <c r="O36" s="210">
        <v>38</v>
      </c>
      <c r="P36" s="31">
        <f t="shared" si="3"/>
        <v>472</v>
      </c>
    </row>
    <row r="37" spans="1:16" x14ac:dyDescent="0.2">
      <c r="A37" s="9"/>
      <c r="B37" s="386"/>
      <c r="C37" s="27" t="s">
        <v>37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56</v>
      </c>
      <c r="J37" s="210">
        <v>0</v>
      </c>
      <c r="K37" s="210">
        <v>0</v>
      </c>
      <c r="L37" s="210">
        <v>0</v>
      </c>
      <c r="M37" s="210">
        <v>61</v>
      </c>
      <c r="N37" s="210">
        <v>0</v>
      </c>
      <c r="O37" s="210">
        <v>0</v>
      </c>
      <c r="P37" s="31">
        <f t="shared" si="3"/>
        <v>117</v>
      </c>
    </row>
    <row r="38" spans="1:16" x14ac:dyDescent="0.2">
      <c r="A38" s="9"/>
      <c r="B38" s="386"/>
      <c r="C38" s="27" t="s">
        <v>38</v>
      </c>
      <c r="D38" s="210">
        <v>0</v>
      </c>
      <c r="E38" s="210">
        <v>0</v>
      </c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210">
        <v>0</v>
      </c>
      <c r="M38" s="210">
        <v>0</v>
      </c>
      <c r="N38" s="210">
        <v>0</v>
      </c>
      <c r="O38" s="210">
        <v>0</v>
      </c>
      <c r="P38" s="31">
        <f t="shared" si="3"/>
        <v>0</v>
      </c>
    </row>
    <row r="39" spans="1:16" x14ac:dyDescent="0.2">
      <c r="A39" s="9"/>
      <c r="B39" s="386"/>
      <c r="C39" s="27" t="s">
        <v>29</v>
      </c>
      <c r="D39" s="210">
        <v>241</v>
      </c>
      <c r="E39" s="210">
        <v>0</v>
      </c>
      <c r="F39" s="210">
        <v>1046</v>
      </c>
      <c r="G39" s="210">
        <v>0</v>
      </c>
      <c r="H39" s="210">
        <v>0</v>
      </c>
      <c r="I39" s="210">
        <v>0</v>
      </c>
      <c r="J39" s="210">
        <v>0</v>
      </c>
      <c r="K39" s="210">
        <v>0</v>
      </c>
      <c r="L39" s="210">
        <v>0</v>
      </c>
      <c r="M39" s="210">
        <v>165</v>
      </c>
      <c r="N39" s="210">
        <v>0</v>
      </c>
      <c r="O39" s="210">
        <v>0</v>
      </c>
      <c r="P39" s="31">
        <f t="shared" si="3"/>
        <v>1452</v>
      </c>
    </row>
    <row r="40" spans="1:16" ht="15" x14ac:dyDescent="0.2">
      <c r="A40" s="9"/>
      <c r="B40" s="381" t="s">
        <v>30</v>
      </c>
      <c r="C40" s="381"/>
      <c r="D40" s="29">
        <f t="shared" ref="D40:O40" si="5">SUM(D32:D39)</f>
        <v>12901</v>
      </c>
      <c r="E40" s="29">
        <f t="shared" si="5"/>
        <v>12442</v>
      </c>
      <c r="F40" s="29">
        <f t="shared" si="5"/>
        <v>13368</v>
      </c>
      <c r="G40" s="29">
        <f t="shared" si="5"/>
        <v>27104</v>
      </c>
      <c r="H40" s="29">
        <f t="shared" si="5"/>
        <v>26664</v>
      </c>
      <c r="I40" s="29">
        <f t="shared" si="5"/>
        <v>26832</v>
      </c>
      <c r="J40" s="29">
        <f t="shared" si="5"/>
        <v>29151</v>
      </c>
      <c r="K40" s="29">
        <f t="shared" si="5"/>
        <v>28854</v>
      </c>
      <c r="L40" s="29">
        <f t="shared" si="5"/>
        <v>29429</v>
      </c>
      <c r="M40" s="29">
        <f t="shared" si="5"/>
        <v>29154</v>
      </c>
      <c r="N40" s="29">
        <f t="shared" si="5"/>
        <v>50939</v>
      </c>
      <c r="O40" s="29">
        <f t="shared" si="5"/>
        <v>95125</v>
      </c>
      <c r="P40" s="29">
        <f t="shared" si="3"/>
        <v>381963</v>
      </c>
    </row>
    <row r="41" spans="1:16" x14ac:dyDescent="0.2">
      <c r="A41" s="9"/>
      <c r="B41" s="383" t="s">
        <v>39</v>
      </c>
      <c r="C41" s="27" t="s">
        <v>40</v>
      </c>
      <c r="D41" s="210">
        <v>326480</v>
      </c>
      <c r="E41" s="210">
        <v>332650</v>
      </c>
      <c r="F41" s="210">
        <v>327820</v>
      </c>
      <c r="G41" s="210">
        <v>325720</v>
      </c>
      <c r="H41" s="210">
        <v>319770</v>
      </c>
      <c r="I41" s="210">
        <v>319240</v>
      </c>
      <c r="J41" s="210">
        <v>318880</v>
      </c>
      <c r="K41" s="210">
        <v>319120</v>
      </c>
      <c r="L41" s="210">
        <v>313180</v>
      </c>
      <c r="M41" s="210">
        <v>322470</v>
      </c>
      <c r="N41" s="210">
        <v>329460</v>
      </c>
      <c r="O41" s="210">
        <v>328510</v>
      </c>
      <c r="P41" s="30">
        <f t="shared" si="3"/>
        <v>3883300</v>
      </c>
    </row>
    <row r="42" spans="1:16" x14ac:dyDescent="0.2">
      <c r="A42" s="9"/>
      <c r="B42" s="383"/>
      <c r="C42" s="27" t="s">
        <v>13</v>
      </c>
      <c r="D42" s="210">
        <v>1192182</v>
      </c>
      <c r="E42" s="210">
        <v>1161497</v>
      </c>
      <c r="F42" s="210">
        <v>1197539</v>
      </c>
      <c r="G42" s="210">
        <v>1326168</v>
      </c>
      <c r="H42" s="210">
        <v>1325032</v>
      </c>
      <c r="I42" s="210">
        <v>1269827</v>
      </c>
      <c r="J42" s="210">
        <v>1250393</v>
      </c>
      <c r="K42" s="210">
        <v>1255762</v>
      </c>
      <c r="L42" s="210">
        <v>1342776</v>
      </c>
      <c r="M42" s="210">
        <v>1235179</v>
      </c>
      <c r="N42" s="210">
        <v>1173763</v>
      </c>
      <c r="O42" s="210">
        <v>1149213</v>
      </c>
      <c r="P42" s="30">
        <f t="shared" si="3"/>
        <v>14879331</v>
      </c>
    </row>
    <row r="43" spans="1:16" ht="15" x14ac:dyDescent="0.2">
      <c r="A43" s="9"/>
      <c r="B43" s="381" t="s">
        <v>30</v>
      </c>
      <c r="C43" s="381"/>
      <c r="D43" s="29">
        <f t="shared" ref="D43:O43" si="6">SUM(D41:D42)</f>
        <v>1518662</v>
      </c>
      <c r="E43" s="29">
        <f t="shared" si="6"/>
        <v>1494147</v>
      </c>
      <c r="F43" s="29">
        <f t="shared" si="6"/>
        <v>1525359</v>
      </c>
      <c r="G43" s="29">
        <f t="shared" si="6"/>
        <v>1651888</v>
      </c>
      <c r="H43" s="29">
        <f t="shared" si="6"/>
        <v>1644802</v>
      </c>
      <c r="I43" s="29">
        <f t="shared" si="6"/>
        <v>1589067</v>
      </c>
      <c r="J43" s="29">
        <f t="shared" si="6"/>
        <v>1569273</v>
      </c>
      <c r="K43" s="29">
        <f t="shared" si="6"/>
        <v>1574882</v>
      </c>
      <c r="L43" s="29">
        <f t="shared" si="6"/>
        <v>1655956</v>
      </c>
      <c r="M43" s="29">
        <f t="shared" si="6"/>
        <v>1557649</v>
      </c>
      <c r="N43" s="29">
        <f t="shared" si="6"/>
        <v>1503223</v>
      </c>
      <c r="O43" s="29">
        <f t="shared" si="6"/>
        <v>1477723</v>
      </c>
      <c r="P43" s="29">
        <f t="shared" si="3"/>
        <v>18762631</v>
      </c>
    </row>
    <row r="44" spans="1:16" x14ac:dyDescent="0.2">
      <c r="A44" s="9"/>
      <c r="B44" s="383" t="s">
        <v>41</v>
      </c>
      <c r="C44" s="27" t="s">
        <v>40</v>
      </c>
      <c r="D44" s="210">
        <v>4480</v>
      </c>
      <c r="E44" s="210">
        <v>4550</v>
      </c>
      <c r="F44" s="210">
        <v>4500</v>
      </c>
      <c r="G44" s="210">
        <v>4210</v>
      </c>
      <c r="H44" s="210">
        <v>4200</v>
      </c>
      <c r="I44" s="210">
        <v>4240</v>
      </c>
      <c r="J44" s="210">
        <v>4220</v>
      </c>
      <c r="K44" s="210">
        <v>4190</v>
      </c>
      <c r="L44" s="210">
        <v>4000</v>
      </c>
      <c r="M44" s="210">
        <v>4220</v>
      </c>
      <c r="N44" s="210">
        <v>4420</v>
      </c>
      <c r="O44" s="210">
        <v>4410</v>
      </c>
      <c r="P44" s="31">
        <f t="shared" si="3"/>
        <v>51640</v>
      </c>
    </row>
    <row r="45" spans="1:16" x14ac:dyDescent="0.2">
      <c r="A45" s="9"/>
      <c r="B45" s="383"/>
      <c r="C45" s="27" t="s">
        <v>13</v>
      </c>
      <c r="D45" s="210">
        <v>71050</v>
      </c>
      <c r="E45" s="210">
        <v>75044</v>
      </c>
      <c r="F45" s="210">
        <v>61554</v>
      </c>
      <c r="G45" s="210">
        <v>116806</v>
      </c>
      <c r="H45" s="210">
        <v>62652</v>
      </c>
      <c r="I45" s="210">
        <v>72368</v>
      </c>
      <c r="J45" s="210">
        <v>77774</v>
      </c>
      <c r="K45" s="210">
        <v>68465</v>
      </c>
      <c r="L45" s="210">
        <v>70033</v>
      </c>
      <c r="M45" s="210">
        <v>66672</v>
      </c>
      <c r="N45" s="210">
        <v>60380</v>
      </c>
      <c r="O45" s="210">
        <v>47568</v>
      </c>
      <c r="P45" s="30">
        <f t="shared" si="3"/>
        <v>850366</v>
      </c>
    </row>
    <row r="46" spans="1:16" ht="15" x14ac:dyDescent="0.2">
      <c r="A46" s="9"/>
      <c r="B46" s="381" t="s">
        <v>30</v>
      </c>
      <c r="C46" s="381"/>
      <c r="D46" s="29">
        <f t="shared" ref="D46:O46" si="7">SUM(D44:D45)</f>
        <v>75530</v>
      </c>
      <c r="E46" s="29">
        <f t="shared" si="7"/>
        <v>79594</v>
      </c>
      <c r="F46" s="29">
        <f t="shared" si="7"/>
        <v>66054</v>
      </c>
      <c r="G46" s="29">
        <f t="shared" si="7"/>
        <v>121016</v>
      </c>
      <c r="H46" s="29">
        <f t="shared" si="7"/>
        <v>66852</v>
      </c>
      <c r="I46" s="29">
        <f t="shared" si="7"/>
        <v>76608</v>
      </c>
      <c r="J46" s="29">
        <f t="shared" si="7"/>
        <v>81994</v>
      </c>
      <c r="K46" s="29">
        <f t="shared" si="7"/>
        <v>72655</v>
      </c>
      <c r="L46" s="29">
        <f t="shared" si="7"/>
        <v>74033</v>
      </c>
      <c r="M46" s="29">
        <f t="shared" si="7"/>
        <v>70892</v>
      </c>
      <c r="N46" s="29">
        <f t="shared" si="7"/>
        <v>64800</v>
      </c>
      <c r="O46" s="29">
        <f t="shared" si="7"/>
        <v>51978</v>
      </c>
      <c r="P46" s="29">
        <f t="shared" si="3"/>
        <v>902006</v>
      </c>
    </row>
    <row r="47" spans="1:16" x14ac:dyDescent="0.2">
      <c r="A47" s="9"/>
      <c r="B47" s="383" t="s">
        <v>42</v>
      </c>
      <c r="C47" s="27" t="s">
        <v>40</v>
      </c>
      <c r="D47" s="210">
        <v>6240</v>
      </c>
      <c r="E47" s="210">
        <v>7390</v>
      </c>
      <c r="F47" s="210">
        <v>6510</v>
      </c>
      <c r="G47" s="210">
        <v>5920</v>
      </c>
      <c r="H47" s="210">
        <v>5630</v>
      </c>
      <c r="I47" s="210">
        <v>5700</v>
      </c>
      <c r="J47" s="210">
        <v>5720</v>
      </c>
      <c r="K47" s="210">
        <v>5140</v>
      </c>
      <c r="L47" s="210">
        <v>5520</v>
      </c>
      <c r="M47" s="210">
        <v>5480</v>
      </c>
      <c r="N47" s="210">
        <v>6140</v>
      </c>
      <c r="O47" s="210">
        <v>6290</v>
      </c>
      <c r="P47" s="30">
        <f t="shared" si="3"/>
        <v>71680</v>
      </c>
    </row>
    <row r="48" spans="1:16" x14ac:dyDescent="0.2">
      <c r="A48" s="9"/>
      <c r="B48" s="383"/>
      <c r="C48" s="27" t="s">
        <v>13</v>
      </c>
      <c r="D48" s="210">
        <v>886506</v>
      </c>
      <c r="E48" s="210">
        <v>743191</v>
      </c>
      <c r="F48" s="210">
        <v>784068</v>
      </c>
      <c r="G48" s="210">
        <v>927020</v>
      </c>
      <c r="H48" s="210">
        <v>965103</v>
      </c>
      <c r="I48" s="210">
        <v>963660</v>
      </c>
      <c r="J48" s="210">
        <v>985028</v>
      </c>
      <c r="K48" s="210">
        <v>1049600</v>
      </c>
      <c r="L48" s="210">
        <v>925423</v>
      </c>
      <c r="M48" s="210">
        <v>972327</v>
      </c>
      <c r="N48" s="210">
        <v>826609</v>
      </c>
      <c r="O48" s="210">
        <v>794602</v>
      </c>
      <c r="P48" s="31">
        <f t="shared" si="3"/>
        <v>10823137</v>
      </c>
    </row>
    <row r="49" spans="1:16" ht="15" x14ac:dyDescent="0.2">
      <c r="A49" s="9"/>
      <c r="B49" s="381" t="s">
        <v>30</v>
      </c>
      <c r="C49" s="381"/>
      <c r="D49" s="29">
        <f t="shared" ref="D49:O49" si="8">SUM(D47:D48)</f>
        <v>892746</v>
      </c>
      <c r="E49" s="29">
        <f t="shared" si="8"/>
        <v>750581</v>
      </c>
      <c r="F49" s="29">
        <f t="shared" si="8"/>
        <v>790578</v>
      </c>
      <c r="G49" s="29">
        <f t="shared" si="8"/>
        <v>932940</v>
      </c>
      <c r="H49" s="29">
        <f t="shared" si="8"/>
        <v>970733</v>
      </c>
      <c r="I49" s="29">
        <f t="shared" si="8"/>
        <v>969360</v>
      </c>
      <c r="J49" s="29">
        <f t="shared" si="8"/>
        <v>990748</v>
      </c>
      <c r="K49" s="29">
        <f t="shared" si="8"/>
        <v>1054740</v>
      </c>
      <c r="L49" s="29">
        <f t="shared" si="8"/>
        <v>930943</v>
      </c>
      <c r="M49" s="29">
        <f t="shared" si="8"/>
        <v>977807</v>
      </c>
      <c r="N49" s="29">
        <f t="shared" si="8"/>
        <v>832749</v>
      </c>
      <c r="O49" s="29">
        <f t="shared" si="8"/>
        <v>800892</v>
      </c>
      <c r="P49" s="29">
        <f t="shared" si="3"/>
        <v>10894817</v>
      </c>
    </row>
    <row r="50" spans="1:16" ht="15" x14ac:dyDescent="0.2">
      <c r="A50" s="9"/>
      <c r="B50" s="382" t="s">
        <v>43</v>
      </c>
      <c r="C50" s="382"/>
      <c r="D50" s="32">
        <f t="shared" ref="D50:O50" si="9">(D31+D40+D43+D46+D49)</f>
        <v>15482104</v>
      </c>
      <c r="E50" s="32">
        <f t="shared" si="9"/>
        <v>14953833</v>
      </c>
      <c r="F50" s="32">
        <f t="shared" si="9"/>
        <v>15218977</v>
      </c>
      <c r="G50" s="32">
        <f t="shared" si="9"/>
        <v>15882623</v>
      </c>
      <c r="H50" s="32">
        <f t="shared" si="9"/>
        <v>16088718</v>
      </c>
      <c r="I50" s="32">
        <f t="shared" si="9"/>
        <v>15990848</v>
      </c>
      <c r="J50" s="32">
        <f t="shared" si="9"/>
        <v>15945546</v>
      </c>
      <c r="K50" s="32">
        <f t="shared" si="9"/>
        <v>16199321</v>
      </c>
      <c r="L50" s="32">
        <f t="shared" si="9"/>
        <v>16537075</v>
      </c>
      <c r="M50" s="32">
        <f t="shared" si="9"/>
        <v>15767396</v>
      </c>
      <c r="N50" s="32">
        <f t="shared" si="9"/>
        <v>14915993</v>
      </c>
      <c r="O50" s="32">
        <f t="shared" si="9"/>
        <v>14788430</v>
      </c>
      <c r="P50" s="32">
        <f t="shared" si="3"/>
        <v>187770864</v>
      </c>
    </row>
    <row r="51" spans="1:1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7.25" x14ac:dyDescent="0.2">
      <c r="A52" s="9"/>
      <c r="B52" s="377" t="s">
        <v>50</v>
      </c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</row>
    <row r="53" spans="1:16" ht="15" x14ac:dyDescent="0.2">
      <c r="A53" s="9"/>
      <c r="B53" s="25" t="s">
        <v>21</v>
      </c>
      <c r="C53" s="25" t="s">
        <v>22</v>
      </c>
      <c r="D53" s="26">
        <f>+D22</f>
        <v>42370</v>
      </c>
      <c r="E53" s="26">
        <f t="shared" ref="E53:O53" si="10">+E22</f>
        <v>42401</v>
      </c>
      <c r="F53" s="26">
        <f t="shared" si="10"/>
        <v>42432</v>
      </c>
      <c r="G53" s="26">
        <f t="shared" si="10"/>
        <v>42463</v>
      </c>
      <c r="H53" s="26">
        <f t="shared" si="10"/>
        <v>42494</v>
      </c>
      <c r="I53" s="26">
        <f t="shared" si="10"/>
        <v>42525</v>
      </c>
      <c r="J53" s="26">
        <f t="shared" si="10"/>
        <v>42556</v>
      </c>
      <c r="K53" s="26">
        <f t="shared" si="10"/>
        <v>42587</v>
      </c>
      <c r="L53" s="26">
        <f t="shared" si="10"/>
        <v>42618</v>
      </c>
      <c r="M53" s="26">
        <f t="shared" si="10"/>
        <v>42649</v>
      </c>
      <c r="N53" s="26">
        <f t="shared" si="10"/>
        <v>42680</v>
      </c>
      <c r="O53" s="26">
        <f t="shared" si="10"/>
        <v>42711</v>
      </c>
      <c r="P53" s="26" t="s">
        <v>46</v>
      </c>
    </row>
    <row r="54" spans="1:16" x14ac:dyDescent="0.2">
      <c r="A54" s="9"/>
      <c r="B54" s="386" t="s">
        <v>24</v>
      </c>
      <c r="C54" s="27" t="s">
        <v>25</v>
      </c>
      <c r="D54" s="210">
        <v>4611073</v>
      </c>
      <c r="E54" s="210">
        <v>4935323</v>
      </c>
      <c r="F54" s="210">
        <v>4731343</v>
      </c>
      <c r="G54" s="210">
        <v>4569694</v>
      </c>
      <c r="H54" s="210">
        <v>4506443</v>
      </c>
      <c r="I54" s="210">
        <v>4595756</v>
      </c>
      <c r="J54" s="210">
        <v>4712581</v>
      </c>
      <c r="K54" s="210">
        <v>4572000</v>
      </c>
      <c r="L54" s="210">
        <v>4275315</v>
      </c>
      <c r="M54" s="210">
        <v>4706438</v>
      </c>
      <c r="N54" s="210">
        <v>5120183</v>
      </c>
      <c r="O54" s="210">
        <v>5225393</v>
      </c>
      <c r="P54" s="28">
        <f>SUM(D54:O54)</f>
        <v>56561542</v>
      </c>
    </row>
    <row r="55" spans="1:16" x14ac:dyDescent="0.2">
      <c r="A55" s="9"/>
      <c r="B55" s="386"/>
      <c r="C55" s="27" t="s">
        <v>5</v>
      </c>
      <c r="D55" s="210">
        <v>2584931</v>
      </c>
      <c r="E55" s="210">
        <v>2493006</v>
      </c>
      <c r="F55" s="210">
        <v>2542698</v>
      </c>
      <c r="G55" s="210">
        <v>2600014</v>
      </c>
      <c r="H55" s="210">
        <v>2613714</v>
      </c>
      <c r="I55" s="210">
        <v>2570966</v>
      </c>
      <c r="J55" s="210">
        <v>2507168</v>
      </c>
      <c r="K55" s="210">
        <v>2613235</v>
      </c>
      <c r="L55" s="210">
        <v>2721601</v>
      </c>
      <c r="M55" s="210">
        <v>2572821</v>
      </c>
      <c r="N55" s="210">
        <v>2416608</v>
      </c>
      <c r="O55" s="210">
        <v>2368363</v>
      </c>
      <c r="P55" s="28">
        <f t="shared" ref="P55:P79" si="11">SUM(D55:O55)</f>
        <v>30605125</v>
      </c>
    </row>
    <row r="56" spans="1:16" x14ac:dyDescent="0.2">
      <c r="A56" s="9"/>
      <c r="B56" s="386"/>
      <c r="C56" s="27" t="s">
        <v>6</v>
      </c>
      <c r="D56" s="210">
        <v>2575209</v>
      </c>
      <c r="E56" s="210">
        <v>2207209</v>
      </c>
      <c r="F56" s="210">
        <v>2471890</v>
      </c>
      <c r="G56" s="210">
        <v>2639794</v>
      </c>
      <c r="H56" s="210">
        <v>2679223</v>
      </c>
      <c r="I56" s="210">
        <v>2583793</v>
      </c>
      <c r="J56" s="210">
        <v>2521282</v>
      </c>
      <c r="K56" s="210">
        <v>2579043</v>
      </c>
      <c r="L56" s="210">
        <v>2928700</v>
      </c>
      <c r="M56" s="210">
        <v>2493572</v>
      </c>
      <c r="N56" s="210">
        <v>2069026</v>
      </c>
      <c r="O56" s="210">
        <v>1965217</v>
      </c>
      <c r="P56" s="28">
        <f t="shared" si="11"/>
        <v>29713958</v>
      </c>
    </row>
    <row r="57" spans="1:16" x14ac:dyDescent="0.2">
      <c r="A57" s="9"/>
      <c r="B57" s="386"/>
      <c r="C57" s="27" t="s">
        <v>7</v>
      </c>
      <c r="D57" s="210">
        <v>600653</v>
      </c>
      <c r="E57" s="210">
        <v>467820</v>
      </c>
      <c r="F57" s="210">
        <v>545315</v>
      </c>
      <c r="G57" s="210">
        <v>590812</v>
      </c>
      <c r="H57" s="210">
        <v>668065</v>
      </c>
      <c r="I57" s="210">
        <v>645829</v>
      </c>
      <c r="J57" s="210">
        <v>597678</v>
      </c>
      <c r="K57" s="210">
        <v>642334</v>
      </c>
      <c r="L57" s="210">
        <v>765289</v>
      </c>
      <c r="M57" s="210">
        <v>553369</v>
      </c>
      <c r="N57" s="210">
        <v>418974</v>
      </c>
      <c r="O57" s="210">
        <v>409004</v>
      </c>
      <c r="P57" s="28">
        <f t="shared" si="11"/>
        <v>6905142</v>
      </c>
    </row>
    <row r="58" spans="1:16" x14ac:dyDescent="0.2">
      <c r="A58" s="9"/>
      <c r="B58" s="386"/>
      <c r="C58" s="27" t="s">
        <v>26</v>
      </c>
      <c r="D58" s="210">
        <v>227161</v>
      </c>
      <c r="E58" s="210">
        <v>194616</v>
      </c>
      <c r="F58" s="210">
        <v>200507</v>
      </c>
      <c r="G58" s="210">
        <v>250701</v>
      </c>
      <c r="H58" s="210">
        <v>258776</v>
      </c>
      <c r="I58" s="210">
        <v>295379</v>
      </c>
      <c r="J58" s="210">
        <v>265781</v>
      </c>
      <c r="K58" s="210">
        <v>285700</v>
      </c>
      <c r="L58" s="210">
        <v>322907</v>
      </c>
      <c r="M58" s="210">
        <v>221099</v>
      </c>
      <c r="N58" s="210">
        <v>163320</v>
      </c>
      <c r="O58" s="210">
        <v>165284</v>
      </c>
      <c r="P58" s="28">
        <f t="shared" si="11"/>
        <v>2851231</v>
      </c>
    </row>
    <row r="59" spans="1:16" x14ac:dyDescent="0.2">
      <c r="A59" s="9"/>
      <c r="B59" s="386"/>
      <c r="C59" s="27" t="s">
        <v>27</v>
      </c>
      <c r="D59" s="210">
        <v>87771</v>
      </c>
      <c r="E59" s="210">
        <v>82522</v>
      </c>
      <c r="F59" s="210">
        <v>87793</v>
      </c>
      <c r="G59" s="210">
        <v>106067</v>
      </c>
      <c r="H59" s="210">
        <v>110252</v>
      </c>
      <c r="I59" s="210">
        <v>128656</v>
      </c>
      <c r="J59" s="210">
        <v>124460</v>
      </c>
      <c r="K59" s="210">
        <v>135495</v>
      </c>
      <c r="L59" s="210">
        <v>147542</v>
      </c>
      <c r="M59" s="210">
        <v>97418</v>
      </c>
      <c r="N59" s="210">
        <v>61903</v>
      </c>
      <c r="O59" s="210">
        <v>69014</v>
      </c>
      <c r="P59" s="28">
        <f t="shared" si="11"/>
        <v>1238893</v>
      </c>
    </row>
    <row r="60" spans="1:16" x14ac:dyDescent="0.2">
      <c r="A60" s="9"/>
      <c r="B60" s="386"/>
      <c r="C60" s="27" t="s">
        <v>28</v>
      </c>
      <c r="D60" s="210">
        <v>44701</v>
      </c>
      <c r="E60" s="210">
        <v>41445</v>
      </c>
      <c r="F60" s="210">
        <v>44069</v>
      </c>
      <c r="G60" s="210">
        <v>54279</v>
      </c>
      <c r="H60" s="210">
        <v>71702</v>
      </c>
      <c r="I60" s="210">
        <v>69940</v>
      </c>
      <c r="J60" s="210">
        <v>72768</v>
      </c>
      <c r="K60" s="210">
        <v>79421</v>
      </c>
      <c r="L60" s="210">
        <v>72326</v>
      </c>
      <c r="M60" s="210">
        <v>48206</v>
      </c>
      <c r="N60" s="210">
        <v>34069</v>
      </c>
      <c r="O60" s="210">
        <v>32062</v>
      </c>
      <c r="P60" s="28">
        <f t="shared" si="11"/>
        <v>664988</v>
      </c>
    </row>
    <row r="61" spans="1:16" x14ac:dyDescent="0.2">
      <c r="A61" s="9"/>
      <c r="B61" s="386"/>
      <c r="C61" s="27" t="s">
        <v>29</v>
      </c>
      <c r="D61" s="210">
        <v>136084</v>
      </c>
      <c r="E61" s="210">
        <v>111118</v>
      </c>
      <c r="F61" s="210">
        <v>82937</v>
      </c>
      <c r="G61" s="210">
        <v>104907</v>
      </c>
      <c r="H61" s="210">
        <v>194940</v>
      </c>
      <c r="I61" s="210">
        <v>147777</v>
      </c>
      <c r="J61" s="210">
        <v>140253</v>
      </c>
      <c r="K61" s="210">
        <v>156815</v>
      </c>
      <c r="L61" s="210">
        <v>149893</v>
      </c>
      <c r="M61" s="210">
        <v>135827</v>
      </c>
      <c r="N61" s="210">
        <v>92371</v>
      </c>
      <c r="O61" s="210">
        <v>93689</v>
      </c>
      <c r="P61" s="28">
        <f t="shared" si="11"/>
        <v>1546611</v>
      </c>
    </row>
    <row r="62" spans="1:16" ht="15" x14ac:dyDescent="0.2">
      <c r="A62" s="9"/>
      <c r="B62" s="381" t="s">
        <v>30</v>
      </c>
      <c r="C62" s="381"/>
      <c r="D62" s="29">
        <f t="shared" ref="D62:O62" si="12" xml:space="preserve"> SUM(D54:D61)</f>
        <v>10867583</v>
      </c>
      <c r="E62" s="29">
        <f t="shared" si="12"/>
        <v>10533059</v>
      </c>
      <c r="F62" s="29">
        <f t="shared" si="12"/>
        <v>10706552</v>
      </c>
      <c r="G62" s="29">
        <f t="shared" si="12"/>
        <v>10916268</v>
      </c>
      <c r="H62" s="29">
        <f t="shared" si="12"/>
        <v>11103115</v>
      </c>
      <c r="I62" s="29">
        <f t="shared" si="12"/>
        <v>11038096</v>
      </c>
      <c r="J62" s="29">
        <f t="shared" si="12"/>
        <v>10941971</v>
      </c>
      <c r="K62" s="29">
        <f t="shared" si="12"/>
        <v>11064043</v>
      </c>
      <c r="L62" s="29">
        <f t="shared" si="12"/>
        <v>11383573</v>
      </c>
      <c r="M62" s="29">
        <f t="shared" si="12"/>
        <v>10828750</v>
      </c>
      <c r="N62" s="29">
        <f t="shared" si="12"/>
        <v>10376454</v>
      </c>
      <c r="O62" s="29">
        <f t="shared" si="12"/>
        <v>10328026</v>
      </c>
      <c r="P62" s="29">
        <f t="shared" si="11"/>
        <v>130087490</v>
      </c>
    </row>
    <row r="63" spans="1:16" x14ac:dyDescent="0.2">
      <c r="A63" s="9"/>
      <c r="B63" s="386" t="s">
        <v>31</v>
      </c>
      <c r="C63" s="27" t="s">
        <v>32</v>
      </c>
      <c r="D63" s="210">
        <v>1231</v>
      </c>
      <c r="E63" s="210">
        <v>1600</v>
      </c>
      <c r="F63" s="210">
        <v>1580</v>
      </c>
      <c r="G63" s="210">
        <v>15674</v>
      </c>
      <c r="H63" s="210">
        <v>15641</v>
      </c>
      <c r="I63" s="210">
        <v>15700</v>
      </c>
      <c r="J63" s="210">
        <v>17940</v>
      </c>
      <c r="K63" s="210">
        <v>17831</v>
      </c>
      <c r="L63" s="210">
        <v>17811</v>
      </c>
      <c r="M63" s="210">
        <v>17950</v>
      </c>
      <c r="N63" s="210">
        <v>18090</v>
      </c>
      <c r="O63" s="210">
        <v>27290</v>
      </c>
      <c r="P63" s="30">
        <f t="shared" si="11"/>
        <v>168338</v>
      </c>
    </row>
    <row r="64" spans="1:16" x14ac:dyDescent="0.2">
      <c r="A64" s="9"/>
      <c r="B64" s="386"/>
      <c r="C64" s="27" t="s">
        <v>33</v>
      </c>
      <c r="D64" s="210">
        <v>3494</v>
      </c>
      <c r="E64" s="210">
        <v>3127</v>
      </c>
      <c r="F64" s="210">
        <v>2955</v>
      </c>
      <c r="G64" s="210">
        <v>454</v>
      </c>
      <c r="H64" s="210">
        <v>3143</v>
      </c>
      <c r="I64" s="210">
        <v>3061</v>
      </c>
      <c r="J64" s="210">
        <v>537</v>
      </c>
      <c r="K64" s="210">
        <v>3188</v>
      </c>
      <c r="L64" s="210">
        <v>666</v>
      </c>
      <c r="M64" s="210">
        <v>3225</v>
      </c>
      <c r="N64" s="210">
        <v>2861</v>
      </c>
      <c r="O64" s="210">
        <v>475</v>
      </c>
      <c r="P64" s="31">
        <f t="shared" si="11"/>
        <v>27186</v>
      </c>
    </row>
    <row r="65" spans="1:16" x14ac:dyDescent="0.2">
      <c r="A65" s="9"/>
      <c r="B65" s="386"/>
      <c r="C65" s="27" t="s">
        <v>34</v>
      </c>
      <c r="D65" s="210">
        <v>688</v>
      </c>
      <c r="E65" s="210">
        <v>626</v>
      </c>
      <c r="F65" s="210">
        <v>692</v>
      </c>
      <c r="G65" s="210">
        <v>3671</v>
      </c>
      <c r="H65" s="210">
        <v>672</v>
      </c>
      <c r="I65" s="210">
        <v>675</v>
      </c>
      <c r="J65" s="210">
        <v>3385</v>
      </c>
      <c r="K65" s="210">
        <v>700</v>
      </c>
      <c r="L65" s="210">
        <v>3625</v>
      </c>
      <c r="M65" s="210">
        <v>597</v>
      </c>
      <c r="N65" s="210">
        <v>559</v>
      </c>
      <c r="O65" s="210">
        <v>3386</v>
      </c>
      <c r="P65" s="30">
        <f t="shared" si="11"/>
        <v>19276</v>
      </c>
    </row>
    <row r="66" spans="1:16" x14ac:dyDescent="0.2">
      <c r="A66" s="9"/>
      <c r="B66" s="386"/>
      <c r="C66" s="27" t="s">
        <v>35</v>
      </c>
      <c r="D66" s="210">
        <v>169</v>
      </c>
      <c r="E66" s="210">
        <v>56</v>
      </c>
      <c r="F66" s="210">
        <v>67</v>
      </c>
      <c r="G66" s="210">
        <v>111</v>
      </c>
      <c r="H66" s="210">
        <v>125</v>
      </c>
      <c r="I66" s="210">
        <v>116</v>
      </c>
      <c r="J66" s="210">
        <v>28</v>
      </c>
      <c r="K66" s="210">
        <v>92</v>
      </c>
      <c r="L66" s="210">
        <v>183</v>
      </c>
      <c r="M66" s="210">
        <v>123</v>
      </c>
      <c r="N66" s="210">
        <v>89</v>
      </c>
      <c r="O66" s="210">
        <v>63</v>
      </c>
      <c r="P66" s="31">
        <f t="shared" si="11"/>
        <v>1222</v>
      </c>
    </row>
    <row r="67" spans="1:16" x14ac:dyDescent="0.2">
      <c r="A67" s="9"/>
      <c r="B67" s="386"/>
      <c r="C67" s="27" t="s">
        <v>36</v>
      </c>
      <c r="D67" s="210">
        <v>0</v>
      </c>
      <c r="E67" s="210">
        <v>0</v>
      </c>
      <c r="F67" s="210">
        <v>0</v>
      </c>
      <c r="G67" s="210">
        <v>110</v>
      </c>
      <c r="H67" s="210">
        <v>0</v>
      </c>
      <c r="I67" s="210">
        <v>110</v>
      </c>
      <c r="J67" s="210">
        <v>133</v>
      </c>
      <c r="K67" s="210">
        <v>0</v>
      </c>
      <c r="L67" s="210">
        <v>0</v>
      </c>
      <c r="M67" s="210">
        <v>0</v>
      </c>
      <c r="N67" s="210">
        <v>0</v>
      </c>
      <c r="O67" s="210">
        <v>38</v>
      </c>
      <c r="P67" s="31">
        <f t="shared" si="11"/>
        <v>391</v>
      </c>
    </row>
    <row r="68" spans="1:16" x14ac:dyDescent="0.2">
      <c r="A68" s="9"/>
      <c r="B68" s="386"/>
      <c r="C68" s="27" t="s">
        <v>37</v>
      </c>
      <c r="D68" s="210">
        <v>0</v>
      </c>
      <c r="E68" s="210">
        <v>0</v>
      </c>
      <c r="F68" s="210">
        <v>0</v>
      </c>
      <c r="G68" s="210">
        <v>0</v>
      </c>
      <c r="H68" s="210">
        <v>0</v>
      </c>
      <c r="I68" s="210">
        <v>0</v>
      </c>
      <c r="J68" s="210">
        <v>0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31">
        <f t="shared" si="11"/>
        <v>0</v>
      </c>
    </row>
    <row r="69" spans="1:16" x14ac:dyDescent="0.2">
      <c r="A69" s="9"/>
      <c r="B69" s="386"/>
      <c r="C69" s="27" t="s">
        <v>38</v>
      </c>
      <c r="D69" s="210">
        <v>0</v>
      </c>
      <c r="E69" s="210">
        <v>0</v>
      </c>
      <c r="F69" s="210">
        <v>0</v>
      </c>
      <c r="G69" s="210">
        <v>0</v>
      </c>
      <c r="H69" s="210">
        <v>0</v>
      </c>
      <c r="I69" s="210">
        <v>0</v>
      </c>
      <c r="J69" s="210">
        <v>0</v>
      </c>
      <c r="K69" s="210">
        <v>0</v>
      </c>
      <c r="L69" s="210">
        <v>0</v>
      </c>
      <c r="M69" s="210">
        <v>0</v>
      </c>
      <c r="N69" s="210">
        <v>0</v>
      </c>
      <c r="O69" s="210">
        <v>0</v>
      </c>
      <c r="P69" s="31">
        <f t="shared" si="11"/>
        <v>0</v>
      </c>
    </row>
    <row r="70" spans="1:16" x14ac:dyDescent="0.2">
      <c r="A70" s="9"/>
      <c r="B70" s="386"/>
      <c r="C70" s="27" t="s">
        <v>29</v>
      </c>
      <c r="D70" s="210">
        <v>0</v>
      </c>
      <c r="E70" s="210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0</v>
      </c>
      <c r="M70" s="210">
        <v>0</v>
      </c>
      <c r="N70" s="210">
        <v>0</v>
      </c>
      <c r="O70" s="210">
        <v>0</v>
      </c>
      <c r="P70" s="31">
        <f t="shared" si="11"/>
        <v>0</v>
      </c>
    </row>
    <row r="71" spans="1:16" ht="15" x14ac:dyDescent="0.2">
      <c r="A71" s="9"/>
      <c r="B71" s="381" t="s">
        <v>30</v>
      </c>
      <c r="C71" s="381"/>
      <c r="D71" s="29">
        <f t="shared" ref="D71:O71" si="13">SUM(D63:D70)</f>
        <v>5582</v>
      </c>
      <c r="E71" s="29">
        <f t="shared" si="13"/>
        <v>5409</v>
      </c>
      <c r="F71" s="29">
        <f t="shared" si="13"/>
        <v>5294</v>
      </c>
      <c r="G71" s="29">
        <f t="shared" si="13"/>
        <v>20020</v>
      </c>
      <c r="H71" s="29">
        <f t="shared" si="13"/>
        <v>19581</v>
      </c>
      <c r="I71" s="29">
        <f t="shared" si="13"/>
        <v>19662</v>
      </c>
      <c r="J71" s="29">
        <f t="shared" si="13"/>
        <v>22023</v>
      </c>
      <c r="K71" s="29">
        <f t="shared" si="13"/>
        <v>21811</v>
      </c>
      <c r="L71" s="29">
        <f t="shared" si="13"/>
        <v>22285</v>
      </c>
      <c r="M71" s="29">
        <f t="shared" si="13"/>
        <v>21895</v>
      </c>
      <c r="N71" s="29">
        <f t="shared" si="13"/>
        <v>21599</v>
      </c>
      <c r="O71" s="29">
        <f t="shared" si="13"/>
        <v>31252</v>
      </c>
      <c r="P71" s="29">
        <f>SUM(P63:P70)</f>
        <v>216413</v>
      </c>
    </row>
    <row r="72" spans="1:16" x14ac:dyDescent="0.2">
      <c r="A72" s="9"/>
      <c r="B72" s="383" t="s">
        <v>39</v>
      </c>
      <c r="C72" s="27" t="s">
        <v>40</v>
      </c>
      <c r="D72" s="210">
        <v>292100</v>
      </c>
      <c r="E72" s="210">
        <v>297200</v>
      </c>
      <c r="F72" s="210">
        <v>293320</v>
      </c>
      <c r="G72" s="210">
        <v>290240</v>
      </c>
      <c r="H72" s="210">
        <v>285500</v>
      </c>
      <c r="I72" s="210">
        <v>284550</v>
      </c>
      <c r="J72" s="210">
        <v>284990</v>
      </c>
      <c r="K72" s="210">
        <v>285290</v>
      </c>
      <c r="L72" s="210">
        <v>279930</v>
      </c>
      <c r="M72" s="210">
        <v>287500</v>
      </c>
      <c r="N72" s="210">
        <v>293140</v>
      </c>
      <c r="O72" s="210">
        <v>291770</v>
      </c>
      <c r="P72" s="30">
        <f t="shared" si="11"/>
        <v>3465530</v>
      </c>
    </row>
    <row r="73" spans="1:16" x14ac:dyDescent="0.2">
      <c r="A73" s="9"/>
      <c r="B73" s="383"/>
      <c r="C73" s="27" t="s">
        <v>13</v>
      </c>
      <c r="D73" s="210">
        <v>996000</v>
      </c>
      <c r="E73" s="210">
        <v>965391</v>
      </c>
      <c r="F73" s="210">
        <v>1000301</v>
      </c>
      <c r="G73" s="210">
        <v>1033760</v>
      </c>
      <c r="H73" s="210">
        <v>1106439</v>
      </c>
      <c r="I73" s="210">
        <v>1066527</v>
      </c>
      <c r="J73" s="210">
        <v>1067322</v>
      </c>
      <c r="K73" s="210">
        <v>1073620</v>
      </c>
      <c r="L73" s="210">
        <v>1126876</v>
      </c>
      <c r="M73" s="210">
        <v>1022022</v>
      </c>
      <c r="N73" s="210">
        <v>963212</v>
      </c>
      <c r="O73" s="210">
        <v>957161</v>
      </c>
      <c r="P73" s="30">
        <f t="shared" si="11"/>
        <v>12378631</v>
      </c>
    </row>
    <row r="74" spans="1:16" ht="15" x14ac:dyDescent="0.2">
      <c r="A74" s="9"/>
      <c r="B74" s="381" t="s">
        <v>30</v>
      </c>
      <c r="C74" s="381"/>
      <c r="D74" s="29">
        <f t="shared" ref="D74:O74" si="14">SUM(D72:D73)</f>
        <v>1288100</v>
      </c>
      <c r="E74" s="29">
        <f t="shared" si="14"/>
        <v>1262591</v>
      </c>
      <c r="F74" s="29">
        <f t="shared" si="14"/>
        <v>1293621</v>
      </c>
      <c r="G74" s="29">
        <f t="shared" si="14"/>
        <v>1324000</v>
      </c>
      <c r="H74" s="29">
        <f t="shared" si="14"/>
        <v>1391939</v>
      </c>
      <c r="I74" s="29">
        <f t="shared" si="14"/>
        <v>1351077</v>
      </c>
      <c r="J74" s="29">
        <f t="shared" si="14"/>
        <v>1352312</v>
      </c>
      <c r="K74" s="29">
        <f t="shared" si="14"/>
        <v>1358910</v>
      </c>
      <c r="L74" s="29">
        <f t="shared" si="14"/>
        <v>1406806</v>
      </c>
      <c r="M74" s="29">
        <f t="shared" si="14"/>
        <v>1309522</v>
      </c>
      <c r="N74" s="29">
        <f t="shared" si="14"/>
        <v>1256352</v>
      </c>
      <c r="O74" s="29">
        <f t="shared" si="14"/>
        <v>1248931</v>
      </c>
      <c r="P74" s="29">
        <f>SUM(P72:P73)</f>
        <v>15844161</v>
      </c>
    </row>
    <row r="75" spans="1:16" x14ac:dyDescent="0.2">
      <c r="A75" s="9"/>
      <c r="B75" s="383" t="s">
        <v>41</v>
      </c>
      <c r="C75" s="27" t="s">
        <v>40</v>
      </c>
      <c r="D75" s="210">
        <v>3500</v>
      </c>
      <c r="E75" s="210">
        <v>3670</v>
      </c>
      <c r="F75" s="210">
        <v>3600</v>
      </c>
      <c r="G75" s="210">
        <v>3370</v>
      </c>
      <c r="H75" s="210">
        <v>3320</v>
      </c>
      <c r="I75" s="210">
        <v>3370</v>
      </c>
      <c r="J75" s="210">
        <v>3460</v>
      </c>
      <c r="K75" s="210">
        <v>3480</v>
      </c>
      <c r="L75" s="210">
        <v>3180</v>
      </c>
      <c r="M75" s="210">
        <v>3380</v>
      </c>
      <c r="N75" s="210">
        <v>3550</v>
      </c>
      <c r="O75" s="210">
        <v>3450</v>
      </c>
      <c r="P75" s="31">
        <f t="shared" si="11"/>
        <v>41330</v>
      </c>
    </row>
    <row r="76" spans="1:16" x14ac:dyDescent="0.2">
      <c r="A76" s="9"/>
      <c r="B76" s="383"/>
      <c r="C76" s="27" t="s">
        <v>13</v>
      </c>
      <c r="D76" s="210">
        <v>64999</v>
      </c>
      <c r="E76" s="210">
        <v>68076</v>
      </c>
      <c r="F76" s="210">
        <v>55049</v>
      </c>
      <c r="G76" s="210">
        <v>63567</v>
      </c>
      <c r="H76" s="210">
        <v>53515</v>
      </c>
      <c r="I76" s="210">
        <v>65760</v>
      </c>
      <c r="J76" s="210">
        <v>69195</v>
      </c>
      <c r="K76" s="210">
        <v>59826</v>
      </c>
      <c r="L76" s="210">
        <v>62310</v>
      </c>
      <c r="M76" s="210">
        <v>59134</v>
      </c>
      <c r="N76" s="210">
        <v>54763</v>
      </c>
      <c r="O76" s="210">
        <v>43205</v>
      </c>
      <c r="P76" s="30">
        <f t="shared" si="11"/>
        <v>719399</v>
      </c>
    </row>
    <row r="77" spans="1:16" ht="15" x14ac:dyDescent="0.2">
      <c r="A77" s="9"/>
      <c r="B77" s="381" t="s">
        <v>30</v>
      </c>
      <c r="C77" s="381"/>
      <c r="D77" s="29">
        <f t="shared" ref="D77:O77" si="15">SUM(D75:D76)</f>
        <v>68499</v>
      </c>
      <c r="E77" s="29">
        <f t="shared" si="15"/>
        <v>71746</v>
      </c>
      <c r="F77" s="29">
        <f t="shared" si="15"/>
        <v>58649</v>
      </c>
      <c r="G77" s="29">
        <f t="shared" si="15"/>
        <v>66937</v>
      </c>
      <c r="H77" s="29">
        <f t="shared" si="15"/>
        <v>56835</v>
      </c>
      <c r="I77" s="29">
        <f t="shared" si="15"/>
        <v>69130</v>
      </c>
      <c r="J77" s="29">
        <f t="shared" si="15"/>
        <v>72655</v>
      </c>
      <c r="K77" s="29">
        <f t="shared" si="15"/>
        <v>63306</v>
      </c>
      <c r="L77" s="29">
        <f t="shared" si="15"/>
        <v>65490</v>
      </c>
      <c r="M77" s="29">
        <f t="shared" si="15"/>
        <v>62514</v>
      </c>
      <c r="N77" s="29">
        <f t="shared" si="15"/>
        <v>58313</v>
      </c>
      <c r="O77" s="29">
        <f t="shared" si="15"/>
        <v>46655</v>
      </c>
      <c r="P77" s="29">
        <f>SUM(P75:P76)</f>
        <v>760729</v>
      </c>
    </row>
    <row r="78" spans="1:16" x14ac:dyDescent="0.2">
      <c r="A78" s="9"/>
      <c r="B78" s="383" t="s">
        <v>42</v>
      </c>
      <c r="C78" s="27" t="s">
        <v>40</v>
      </c>
      <c r="D78" s="210">
        <v>5330</v>
      </c>
      <c r="E78" s="210">
        <v>6340</v>
      </c>
      <c r="F78" s="210">
        <v>5570</v>
      </c>
      <c r="G78" s="210">
        <v>5020</v>
      </c>
      <c r="H78" s="210">
        <v>4750</v>
      </c>
      <c r="I78" s="210">
        <v>4870</v>
      </c>
      <c r="J78" s="210">
        <v>4750</v>
      </c>
      <c r="K78" s="210">
        <v>4440</v>
      </c>
      <c r="L78" s="210">
        <v>4760</v>
      </c>
      <c r="M78" s="210">
        <v>4750</v>
      </c>
      <c r="N78" s="210">
        <v>5210</v>
      </c>
      <c r="O78" s="210">
        <v>5250</v>
      </c>
      <c r="P78" s="30">
        <f t="shared" si="11"/>
        <v>61040</v>
      </c>
    </row>
    <row r="79" spans="1:16" x14ac:dyDescent="0.2">
      <c r="A79" s="9"/>
      <c r="B79" s="383"/>
      <c r="C79" s="27" t="s">
        <v>13</v>
      </c>
      <c r="D79" s="210">
        <v>848887</v>
      </c>
      <c r="E79" s="210">
        <v>711429</v>
      </c>
      <c r="F79" s="210">
        <v>759796</v>
      </c>
      <c r="G79" s="210">
        <v>892126</v>
      </c>
      <c r="H79" s="210">
        <v>926050</v>
      </c>
      <c r="I79" s="210">
        <v>913131</v>
      </c>
      <c r="J79" s="210">
        <v>926050</v>
      </c>
      <c r="K79" s="210">
        <v>1000403</v>
      </c>
      <c r="L79" s="210">
        <v>870460</v>
      </c>
      <c r="M79" s="210">
        <v>929279</v>
      </c>
      <c r="N79" s="210">
        <v>785452</v>
      </c>
      <c r="O79" s="210">
        <v>765603</v>
      </c>
      <c r="P79" s="31">
        <f t="shared" si="11"/>
        <v>10328666</v>
      </c>
    </row>
    <row r="80" spans="1:16" ht="15" x14ac:dyDescent="0.2">
      <c r="A80" s="9"/>
      <c r="B80" s="381" t="s">
        <v>30</v>
      </c>
      <c r="C80" s="381"/>
      <c r="D80" s="29">
        <f t="shared" ref="D80:O80" si="16">SUM(D78:D79)</f>
        <v>854217</v>
      </c>
      <c r="E80" s="29">
        <f t="shared" si="16"/>
        <v>717769</v>
      </c>
      <c r="F80" s="29">
        <f t="shared" si="16"/>
        <v>765366</v>
      </c>
      <c r="G80" s="29">
        <f t="shared" si="16"/>
        <v>897146</v>
      </c>
      <c r="H80" s="29">
        <f t="shared" si="16"/>
        <v>930800</v>
      </c>
      <c r="I80" s="29">
        <f t="shared" si="16"/>
        <v>918001</v>
      </c>
      <c r="J80" s="29">
        <f t="shared" si="16"/>
        <v>930800</v>
      </c>
      <c r="K80" s="29">
        <f t="shared" si="16"/>
        <v>1004843</v>
      </c>
      <c r="L80" s="29">
        <f t="shared" si="16"/>
        <v>875220</v>
      </c>
      <c r="M80" s="29">
        <f t="shared" si="16"/>
        <v>934029</v>
      </c>
      <c r="N80" s="29">
        <f t="shared" si="16"/>
        <v>790662</v>
      </c>
      <c r="O80" s="29">
        <f t="shared" si="16"/>
        <v>770853</v>
      </c>
      <c r="P80" s="29">
        <f>SUM(P78:P79)</f>
        <v>10389706</v>
      </c>
    </row>
    <row r="81" spans="1:17" ht="15" x14ac:dyDescent="0.2">
      <c r="A81" s="9"/>
      <c r="B81" s="382" t="s">
        <v>43</v>
      </c>
      <c r="C81" s="382"/>
      <c r="D81" s="207">
        <f t="shared" ref="D81:O81" si="17">(D62+D71+D74+D77+D80)</f>
        <v>13083981</v>
      </c>
      <c r="E81" s="207">
        <f t="shared" si="17"/>
        <v>12590574</v>
      </c>
      <c r="F81" s="207">
        <f t="shared" si="17"/>
        <v>12829482</v>
      </c>
      <c r="G81" s="207">
        <f t="shared" si="17"/>
        <v>13224371</v>
      </c>
      <c r="H81" s="207">
        <f t="shared" si="17"/>
        <v>13502270</v>
      </c>
      <c r="I81" s="207">
        <f t="shared" si="17"/>
        <v>13395966</v>
      </c>
      <c r="J81" s="207">
        <f t="shared" si="17"/>
        <v>13319761</v>
      </c>
      <c r="K81" s="207">
        <f t="shared" si="17"/>
        <v>13512913</v>
      </c>
      <c r="L81" s="207">
        <f t="shared" si="17"/>
        <v>13753374</v>
      </c>
      <c r="M81" s="207">
        <f t="shared" si="17"/>
        <v>13156710</v>
      </c>
      <c r="N81" s="207">
        <f t="shared" si="17"/>
        <v>12503380</v>
      </c>
      <c r="O81" s="32">
        <f t="shared" si="17"/>
        <v>12425717</v>
      </c>
      <c r="P81" s="32">
        <f>(P62+P71+P74+P77+P80)</f>
        <v>157298499</v>
      </c>
      <c r="Q81" s="33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7" customFormat="1" ht="15" x14ac:dyDescent="0.25">
      <c r="A83" s="4"/>
      <c r="B83" s="384" t="s">
        <v>51</v>
      </c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5"/>
    </row>
    <row r="84" spans="1:17" customFormat="1" ht="15" x14ac:dyDescent="0.25">
      <c r="A84" s="4"/>
      <c r="B84" s="25" t="s">
        <v>21</v>
      </c>
      <c r="C84" s="25" t="s">
        <v>22</v>
      </c>
      <c r="D84" s="26">
        <f>+D53</f>
        <v>42370</v>
      </c>
      <c r="E84" s="26">
        <f t="shared" ref="E84:O84" si="18">+E53</f>
        <v>42401</v>
      </c>
      <c r="F84" s="26">
        <f t="shared" si="18"/>
        <v>42432</v>
      </c>
      <c r="G84" s="26">
        <f t="shared" si="18"/>
        <v>42463</v>
      </c>
      <c r="H84" s="26">
        <f t="shared" si="18"/>
        <v>42494</v>
      </c>
      <c r="I84" s="26">
        <f t="shared" si="18"/>
        <v>42525</v>
      </c>
      <c r="J84" s="26">
        <f t="shared" si="18"/>
        <v>42556</v>
      </c>
      <c r="K84" s="26">
        <f t="shared" si="18"/>
        <v>42587</v>
      </c>
      <c r="L84" s="26">
        <f t="shared" si="18"/>
        <v>42618</v>
      </c>
      <c r="M84" s="26">
        <f t="shared" si="18"/>
        <v>42649</v>
      </c>
      <c r="N84" s="26">
        <f t="shared" si="18"/>
        <v>42680</v>
      </c>
      <c r="O84" s="26">
        <f t="shared" si="18"/>
        <v>42711</v>
      </c>
      <c r="P84" s="26" t="s">
        <v>23</v>
      </c>
    </row>
    <row r="85" spans="1:17" customFormat="1" ht="15" x14ac:dyDescent="0.25">
      <c r="A85" s="4"/>
      <c r="B85" s="386" t="s">
        <v>24</v>
      </c>
      <c r="C85" s="27" t="s">
        <v>25</v>
      </c>
      <c r="D85" s="208">
        <f>+D54+D23</f>
        <v>9877133</v>
      </c>
      <c r="E85" s="208">
        <f t="shared" ref="E85:O85" si="19">+E54+E23</f>
        <v>10574144</v>
      </c>
      <c r="F85" s="208">
        <f t="shared" si="19"/>
        <v>10141503</v>
      </c>
      <c r="G85" s="208">
        <f t="shared" si="19"/>
        <v>9801558</v>
      </c>
      <c r="H85" s="208">
        <f t="shared" si="19"/>
        <v>9668020</v>
      </c>
      <c r="I85" s="208">
        <f t="shared" si="19"/>
        <v>9855707</v>
      </c>
      <c r="J85" s="208">
        <f t="shared" si="19"/>
        <v>10083386</v>
      </c>
      <c r="K85" s="208">
        <f t="shared" si="19"/>
        <v>9772732</v>
      </c>
      <c r="L85" s="208">
        <f t="shared" si="19"/>
        <v>9162266</v>
      </c>
      <c r="M85" s="208">
        <f t="shared" si="19"/>
        <v>10084692</v>
      </c>
      <c r="N85" s="208">
        <f t="shared" si="19"/>
        <v>10999124</v>
      </c>
      <c r="O85" s="208">
        <f t="shared" si="19"/>
        <v>11213869</v>
      </c>
      <c r="P85" s="28">
        <f>SUM(D85:O85)</f>
        <v>121234134</v>
      </c>
    </row>
    <row r="86" spans="1:17" customFormat="1" ht="15" x14ac:dyDescent="0.25">
      <c r="A86" s="4"/>
      <c r="B86" s="386"/>
      <c r="C86" s="27" t="s">
        <v>5</v>
      </c>
      <c r="D86" s="208">
        <f t="shared" ref="D86:O92" si="20">+D55+D24</f>
        <v>5518742</v>
      </c>
      <c r="E86" s="208">
        <f t="shared" si="20"/>
        <v>5337067</v>
      </c>
      <c r="F86" s="208">
        <f t="shared" si="20"/>
        <v>5442307</v>
      </c>
      <c r="G86" s="208">
        <f t="shared" si="20"/>
        <v>5558299</v>
      </c>
      <c r="H86" s="208">
        <f t="shared" si="20"/>
        <v>5587876</v>
      </c>
      <c r="I86" s="208">
        <f t="shared" si="20"/>
        <v>5492729</v>
      </c>
      <c r="J86" s="208">
        <f t="shared" si="20"/>
        <v>5358668</v>
      </c>
      <c r="K86" s="208">
        <f t="shared" si="20"/>
        <v>5572187</v>
      </c>
      <c r="L86" s="208">
        <f t="shared" si="20"/>
        <v>5788662</v>
      </c>
      <c r="M86" s="208">
        <f t="shared" si="20"/>
        <v>5496089</v>
      </c>
      <c r="N86" s="208">
        <f t="shared" si="20"/>
        <v>5187515</v>
      </c>
      <c r="O86" s="208">
        <f t="shared" si="20"/>
        <v>5086982</v>
      </c>
      <c r="P86" s="28">
        <f t="shared" ref="P86:P92" si="21">SUM(D86:O86)</f>
        <v>65427123</v>
      </c>
    </row>
    <row r="87" spans="1:17" customFormat="1" ht="15" x14ac:dyDescent="0.25">
      <c r="A87" s="4"/>
      <c r="B87" s="386"/>
      <c r="C87" s="27" t="s">
        <v>6</v>
      </c>
      <c r="D87" s="208">
        <f t="shared" si="20"/>
        <v>5711072</v>
      </c>
      <c r="E87" s="208">
        <f t="shared" si="20"/>
        <v>4933725</v>
      </c>
      <c r="F87" s="208">
        <f t="shared" si="20"/>
        <v>5490559</v>
      </c>
      <c r="G87" s="208">
        <f t="shared" si="20"/>
        <v>5842165</v>
      </c>
      <c r="H87" s="208">
        <f t="shared" si="20"/>
        <v>5935484</v>
      </c>
      <c r="I87" s="208">
        <f t="shared" si="20"/>
        <v>5743564</v>
      </c>
      <c r="J87" s="208">
        <f t="shared" si="20"/>
        <v>5617849</v>
      </c>
      <c r="K87" s="208">
        <f t="shared" si="20"/>
        <v>5752873</v>
      </c>
      <c r="L87" s="208">
        <f t="shared" si="20"/>
        <v>6485213</v>
      </c>
      <c r="M87" s="208">
        <f t="shared" si="20"/>
        <v>5580703</v>
      </c>
      <c r="N87" s="208">
        <f t="shared" si="20"/>
        <v>4623816</v>
      </c>
      <c r="O87" s="208">
        <f t="shared" si="20"/>
        <v>4390066</v>
      </c>
      <c r="P87" s="28">
        <f t="shared" si="21"/>
        <v>66107089</v>
      </c>
    </row>
    <row r="88" spans="1:17" customFormat="1" ht="15" x14ac:dyDescent="0.25">
      <c r="A88" s="4"/>
      <c r="B88" s="386"/>
      <c r="C88" s="27" t="s">
        <v>7</v>
      </c>
      <c r="D88" s="208">
        <f t="shared" si="20"/>
        <v>1434628</v>
      </c>
      <c r="E88" s="208">
        <f t="shared" si="20"/>
        <v>1148311</v>
      </c>
      <c r="F88" s="208">
        <f t="shared" si="20"/>
        <v>1313943</v>
      </c>
      <c r="G88" s="208">
        <f t="shared" si="20"/>
        <v>1436160</v>
      </c>
      <c r="H88" s="208">
        <f t="shared" si="20"/>
        <v>1602628</v>
      </c>
      <c r="I88" s="208">
        <f t="shared" si="20"/>
        <v>1558568</v>
      </c>
      <c r="J88" s="208">
        <f t="shared" si="20"/>
        <v>1467682</v>
      </c>
      <c r="K88" s="208">
        <f t="shared" si="20"/>
        <v>1589193</v>
      </c>
      <c r="L88" s="208">
        <f t="shared" si="20"/>
        <v>1858603</v>
      </c>
      <c r="M88" s="208">
        <f t="shared" si="20"/>
        <v>1392092</v>
      </c>
      <c r="N88" s="208">
        <f t="shared" si="20"/>
        <v>1049755</v>
      </c>
      <c r="O88" s="208">
        <f t="shared" si="20"/>
        <v>1017647</v>
      </c>
      <c r="P88" s="28">
        <f t="shared" si="21"/>
        <v>16869210</v>
      </c>
    </row>
    <row r="89" spans="1:17" customFormat="1" ht="15" x14ac:dyDescent="0.25">
      <c r="A89" s="4"/>
      <c r="B89" s="386"/>
      <c r="C89" s="27" t="s">
        <v>26</v>
      </c>
      <c r="D89" s="208">
        <f t="shared" si="20"/>
        <v>597058</v>
      </c>
      <c r="E89" s="208">
        <f t="shared" si="20"/>
        <v>525479</v>
      </c>
      <c r="F89" s="208">
        <f t="shared" si="20"/>
        <v>550015</v>
      </c>
      <c r="G89" s="208">
        <f t="shared" si="20"/>
        <v>676624</v>
      </c>
      <c r="H89" s="208">
        <f t="shared" si="20"/>
        <v>702812</v>
      </c>
      <c r="I89" s="208">
        <f t="shared" si="20"/>
        <v>783335</v>
      </c>
      <c r="J89" s="208">
        <f t="shared" si="20"/>
        <v>740231</v>
      </c>
      <c r="K89" s="208">
        <f t="shared" si="20"/>
        <v>805417</v>
      </c>
      <c r="L89" s="208">
        <f t="shared" si="20"/>
        <v>894123</v>
      </c>
      <c r="M89" s="208">
        <f t="shared" si="20"/>
        <v>634990</v>
      </c>
      <c r="N89" s="208">
        <f t="shared" si="20"/>
        <v>457578</v>
      </c>
      <c r="O89" s="208">
        <f t="shared" si="20"/>
        <v>453434</v>
      </c>
      <c r="P89" s="28">
        <f t="shared" si="21"/>
        <v>7821096</v>
      </c>
    </row>
    <row r="90" spans="1:17" customFormat="1" ht="15" x14ac:dyDescent="0.25">
      <c r="A90" s="4"/>
      <c r="B90" s="386"/>
      <c r="C90" s="27" t="s">
        <v>27</v>
      </c>
      <c r="D90" s="208">
        <f t="shared" si="20"/>
        <v>241478</v>
      </c>
      <c r="E90" s="208">
        <f t="shared" si="20"/>
        <v>231684</v>
      </c>
      <c r="F90" s="208">
        <f t="shared" si="20"/>
        <v>247844</v>
      </c>
      <c r="G90" s="208">
        <f t="shared" si="20"/>
        <v>304068</v>
      </c>
      <c r="H90" s="208">
        <f t="shared" si="20"/>
        <v>313908</v>
      </c>
      <c r="I90" s="208">
        <f t="shared" si="20"/>
        <v>359030</v>
      </c>
      <c r="J90" s="208">
        <f t="shared" si="20"/>
        <v>368216</v>
      </c>
      <c r="K90" s="208">
        <f t="shared" si="20"/>
        <v>399482</v>
      </c>
      <c r="L90" s="208">
        <f t="shared" si="20"/>
        <v>426891</v>
      </c>
      <c r="M90" s="208">
        <f t="shared" si="20"/>
        <v>285691</v>
      </c>
      <c r="N90" s="208">
        <f t="shared" si="20"/>
        <v>180664</v>
      </c>
      <c r="O90" s="208">
        <f t="shared" si="20"/>
        <v>194020</v>
      </c>
      <c r="P90" s="28">
        <f t="shared" si="21"/>
        <v>3552976</v>
      </c>
    </row>
    <row r="91" spans="1:17" customFormat="1" ht="15" x14ac:dyDescent="0.25">
      <c r="A91" s="4"/>
      <c r="B91" s="386"/>
      <c r="C91" s="27" t="s">
        <v>28</v>
      </c>
      <c r="D91" s="208">
        <f t="shared" si="20"/>
        <v>123770</v>
      </c>
      <c r="E91" s="208">
        <f t="shared" si="20"/>
        <v>116521</v>
      </c>
      <c r="F91" s="208">
        <f t="shared" si="20"/>
        <v>124393</v>
      </c>
      <c r="G91" s="208">
        <f t="shared" si="20"/>
        <v>154578</v>
      </c>
      <c r="H91" s="208">
        <f t="shared" si="20"/>
        <v>190242</v>
      </c>
      <c r="I91" s="208">
        <f t="shared" si="20"/>
        <v>192991</v>
      </c>
      <c r="J91" s="208">
        <f t="shared" si="20"/>
        <v>210503</v>
      </c>
      <c r="K91" s="208">
        <f t="shared" si="20"/>
        <v>226347</v>
      </c>
      <c r="L91" s="208">
        <f t="shared" si="20"/>
        <v>218474</v>
      </c>
      <c r="M91" s="208">
        <f t="shared" si="20"/>
        <v>139745</v>
      </c>
      <c r="N91" s="208">
        <f t="shared" si="20"/>
        <v>96320</v>
      </c>
      <c r="O91" s="208">
        <f t="shared" si="20"/>
        <v>91981</v>
      </c>
      <c r="P91" s="28">
        <f t="shared" si="21"/>
        <v>1885865</v>
      </c>
    </row>
    <row r="92" spans="1:17" customFormat="1" ht="15" x14ac:dyDescent="0.25">
      <c r="A92" s="4"/>
      <c r="B92" s="386"/>
      <c r="C92" s="27" t="s">
        <v>29</v>
      </c>
      <c r="D92" s="208">
        <f t="shared" si="20"/>
        <v>345967</v>
      </c>
      <c r="E92" s="208">
        <f t="shared" si="20"/>
        <v>283197</v>
      </c>
      <c r="F92" s="208">
        <f t="shared" si="20"/>
        <v>219606</v>
      </c>
      <c r="G92" s="208">
        <f t="shared" si="20"/>
        <v>292491</v>
      </c>
      <c r="H92" s="208">
        <f t="shared" si="20"/>
        <v>481812</v>
      </c>
      <c r="I92" s="208">
        <f t="shared" si="20"/>
        <v>381153</v>
      </c>
      <c r="J92" s="208">
        <f t="shared" si="20"/>
        <v>369816</v>
      </c>
      <c r="K92" s="208">
        <f t="shared" si="20"/>
        <v>414002</v>
      </c>
      <c r="L92" s="208">
        <f t="shared" si="20"/>
        <v>396055</v>
      </c>
      <c r="M92" s="208">
        <f t="shared" si="20"/>
        <v>346642</v>
      </c>
      <c r="N92" s="208">
        <f t="shared" si="20"/>
        <v>245964</v>
      </c>
      <c r="O92" s="208">
        <f t="shared" si="20"/>
        <v>242739</v>
      </c>
      <c r="P92" s="28">
        <f t="shared" si="21"/>
        <v>4019444</v>
      </c>
    </row>
    <row r="93" spans="1:17" customFormat="1" ht="15" x14ac:dyDescent="0.25">
      <c r="A93" s="4"/>
      <c r="B93" s="381" t="s">
        <v>30</v>
      </c>
      <c r="C93" s="381"/>
      <c r="D93" s="29">
        <f>SUM(D85:D92)</f>
        <v>23849848</v>
      </c>
      <c r="E93" s="29">
        <f t="shared" ref="E93:O93" si="22">SUM(E85:E92)</f>
        <v>23150128</v>
      </c>
      <c r="F93" s="29">
        <f t="shared" si="22"/>
        <v>23530170</v>
      </c>
      <c r="G93" s="29">
        <f t="shared" si="22"/>
        <v>24065943</v>
      </c>
      <c r="H93" s="29">
        <f t="shared" si="22"/>
        <v>24482782</v>
      </c>
      <c r="I93" s="29">
        <f t="shared" si="22"/>
        <v>24367077</v>
      </c>
      <c r="J93" s="29">
        <f t="shared" si="22"/>
        <v>24216351</v>
      </c>
      <c r="K93" s="29">
        <f t="shared" si="22"/>
        <v>24532233</v>
      </c>
      <c r="L93" s="29">
        <f t="shared" si="22"/>
        <v>25230287</v>
      </c>
      <c r="M93" s="29">
        <f t="shared" si="22"/>
        <v>23960644</v>
      </c>
      <c r="N93" s="29">
        <f t="shared" si="22"/>
        <v>22840736</v>
      </c>
      <c r="O93" s="29">
        <f t="shared" si="22"/>
        <v>22690738</v>
      </c>
      <c r="P93" s="29">
        <f>SUM(D93:O93)</f>
        <v>286916937</v>
      </c>
    </row>
    <row r="94" spans="1:17" customFormat="1" ht="15" x14ac:dyDescent="0.25">
      <c r="A94" s="4"/>
      <c r="B94" s="386" t="s">
        <v>31</v>
      </c>
      <c r="C94" s="27" t="s">
        <v>32</v>
      </c>
      <c r="D94" s="208">
        <f t="shared" ref="D94:O101" si="23">+D63+D32</f>
        <v>8962</v>
      </c>
      <c r="E94" s="208">
        <f t="shared" si="23"/>
        <v>9730</v>
      </c>
      <c r="F94" s="208">
        <f t="shared" si="23"/>
        <v>9680</v>
      </c>
      <c r="G94" s="208">
        <f t="shared" si="23"/>
        <v>37848</v>
      </c>
      <c r="H94" s="208">
        <f t="shared" si="23"/>
        <v>37832</v>
      </c>
      <c r="I94" s="208">
        <f t="shared" si="23"/>
        <v>37930</v>
      </c>
      <c r="J94" s="208">
        <f t="shared" si="23"/>
        <v>42340</v>
      </c>
      <c r="K94" s="208">
        <f t="shared" si="23"/>
        <v>42202</v>
      </c>
      <c r="L94" s="208">
        <f t="shared" si="23"/>
        <v>42022</v>
      </c>
      <c r="M94" s="208">
        <f t="shared" si="23"/>
        <v>42370</v>
      </c>
      <c r="N94" s="208">
        <f t="shared" si="23"/>
        <v>65070</v>
      </c>
      <c r="O94" s="208">
        <f t="shared" si="23"/>
        <v>118070</v>
      </c>
      <c r="P94" s="30">
        <f>SUM(D94:O94)</f>
        <v>494056</v>
      </c>
    </row>
    <row r="95" spans="1:17" customFormat="1" ht="15" x14ac:dyDescent="0.25">
      <c r="A95" s="4"/>
      <c r="B95" s="386"/>
      <c r="C95" s="27" t="s">
        <v>33</v>
      </c>
      <c r="D95" s="208">
        <f t="shared" si="23"/>
        <v>7269</v>
      </c>
      <c r="E95" s="208">
        <f t="shared" si="23"/>
        <v>6560</v>
      </c>
      <c r="F95" s="208">
        <f t="shared" si="23"/>
        <v>6164</v>
      </c>
      <c r="G95" s="208">
        <f t="shared" si="23"/>
        <v>1123</v>
      </c>
      <c r="H95" s="208">
        <f t="shared" si="23"/>
        <v>6489</v>
      </c>
      <c r="I95" s="208">
        <f t="shared" si="23"/>
        <v>6304</v>
      </c>
      <c r="J95" s="208">
        <f t="shared" si="23"/>
        <v>1365</v>
      </c>
      <c r="K95" s="208">
        <f t="shared" si="23"/>
        <v>6581</v>
      </c>
      <c r="L95" s="208">
        <f t="shared" si="23"/>
        <v>1662</v>
      </c>
      <c r="M95" s="208">
        <f t="shared" si="23"/>
        <v>6731</v>
      </c>
      <c r="N95" s="208">
        <f t="shared" si="23"/>
        <v>5931</v>
      </c>
      <c r="O95" s="208">
        <f t="shared" si="23"/>
        <v>1177</v>
      </c>
      <c r="P95" s="30">
        <f t="shared" ref="P95:P112" si="24">SUM(D95:O95)</f>
        <v>57356</v>
      </c>
    </row>
    <row r="96" spans="1:17" customFormat="1" ht="15" x14ac:dyDescent="0.25">
      <c r="A96" s="4"/>
      <c r="B96" s="386"/>
      <c r="C96" s="27" t="s">
        <v>34</v>
      </c>
      <c r="D96" s="208">
        <f t="shared" si="23"/>
        <v>1612</v>
      </c>
      <c r="E96" s="208">
        <f t="shared" si="23"/>
        <v>1411</v>
      </c>
      <c r="F96" s="208">
        <f t="shared" si="23"/>
        <v>1607</v>
      </c>
      <c r="G96" s="208">
        <f t="shared" si="23"/>
        <v>7623</v>
      </c>
      <c r="H96" s="208">
        <f t="shared" si="23"/>
        <v>1588</v>
      </c>
      <c r="I96" s="208">
        <f t="shared" si="23"/>
        <v>1555</v>
      </c>
      <c r="J96" s="208">
        <f t="shared" si="23"/>
        <v>7002</v>
      </c>
      <c r="K96" s="208">
        <f t="shared" si="23"/>
        <v>1669</v>
      </c>
      <c r="L96" s="208">
        <f t="shared" si="23"/>
        <v>7606</v>
      </c>
      <c r="M96" s="208">
        <f t="shared" si="23"/>
        <v>1406</v>
      </c>
      <c r="N96" s="208">
        <f t="shared" si="23"/>
        <v>1326</v>
      </c>
      <c r="O96" s="208">
        <f t="shared" si="23"/>
        <v>6928</v>
      </c>
      <c r="P96" s="30">
        <f t="shared" si="24"/>
        <v>41333</v>
      </c>
    </row>
    <row r="97" spans="1:16" customFormat="1" ht="15" x14ac:dyDescent="0.25">
      <c r="A97" s="4"/>
      <c r="B97" s="386"/>
      <c r="C97" s="27" t="s">
        <v>35</v>
      </c>
      <c r="D97" s="208">
        <f t="shared" si="23"/>
        <v>399</v>
      </c>
      <c r="E97" s="208">
        <f t="shared" si="23"/>
        <v>112</v>
      </c>
      <c r="F97" s="208">
        <f t="shared" si="23"/>
        <v>165</v>
      </c>
      <c r="G97" s="208">
        <f t="shared" si="23"/>
        <v>310</v>
      </c>
      <c r="H97" s="208">
        <f t="shared" si="23"/>
        <v>336</v>
      </c>
      <c r="I97" s="208">
        <f t="shared" si="23"/>
        <v>429</v>
      </c>
      <c r="J97" s="208">
        <f t="shared" si="23"/>
        <v>201</v>
      </c>
      <c r="K97" s="208">
        <f t="shared" si="23"/>
        <v>213</v>
      </c>
      <c r="L97" s="208">
        <f t="shared" si="23"/>
        <v>424</v>
      </c>
      <c r="M97" s="208">
        <f t="shared" si="23"/>
        <v>273</v>
      </c>
      <c r="N97" s="208">
        <f t="shared" si="23"/>
        <v>211</v>
      </c>
      <c r="O97" s="208">
        <f t="shared" si="23"/>
        <v>126</v>
      </c>
      <c r="P97" s="30">
        <f t="shared" si="24"/>
        <v>3199</v>
      </c>
    </row>
    <row r="98" spans="1:16" customFormat="1" ht="15" x14ac:dyDescent="0.25">
      <c r="A98" s="4"/>
      <c r="B98" s="386"/>
      <c r="C98" s="27" t="s">
        <v>36</v>
      </c>
      <c r="D98" s="208">
        <f t="shared" si="23"/>
        <v>0</v>
      </c>
      <c r="E98" s="208">
        <f t="shared" si="23"/>
        <v>38</v>
      </c>
      <c r="F98" s="208">
        <f t="shared" si="23"/>
        <v>0</v>
      </c>
      <c r="G98" s="208">
        <f t="shared" si="23"/>
        <v>220</v>
      </c>
      <c r="H98" s="208">
        <f t="shared" si="23"/>
        <v>0</v>
      </c>
      <c r="I98" s="208">
        <f t="shared" si="23"/>
        <v>220</v>
      </c>
      <c r="J98" s="208">
        <f t="shared" si="23"/>
        <v>266</v>
      </c>
      <c r="K98" s="208">
        <f t="shared" si="23"/>
        <v>0</v>
      </c>
      <c r="L98" s="208">
        <f t="shared" si="23"/>
        <v>0</v>
      </c>
      <c r="M98" s="208">
        <f t="shared" si="23"/>
        <v>43</v>
      </c>
      <c r="N98" s="208">
        <f t="shared" si="23"/>
        <v>0</v>
      </c>
      <c r="O98" s="208">
        <f t="shared" si="23"/>
        <v>76</v>
      </c>
      <c r="P98" s="30">
        <f t="shared" si="24"/>
        <v>863</v>
      </c>
    </row>
    <row r="99" spans="1:16" customFormat="1" ht="15" x14ac:dyDescent="0.25">
      <c r="A99" s="4"/>
      <c r="B99" s="386"/>
      <c r="C99" s="27" t="s">
        <v>37</v>
      </c>
      <c r="D99" s="208">
        <f t="shared" si="23"/>
        <v>0</v>
      </c>
      <c r="E99" s="208">
        <f t="shared" si="23"/>
        <v>0</v>
      </c>
      <c r="F99" s="208">
        <f t="shared" si="23"/>
        <v>0</v>
      </c>
      <c r="G99" s="208">
        <f t="shared" si="23"/>
        <v>0</v>
      </c>
      <c r="H99" s="208">
        <f t="shared" si="23"/>
        <v>0</v>
      </c>
      <c r="I99" s="208">
        <f t="shared" si="23"/>
        <v>56</v>
      </c>
      <c r="J99" s="208">
        <f t="shared" si="23"/>
        <v>0</v>
      </c>
      <c r="K99" s="208">
        <f t="shared" si="23"/>
        <v>0</v>
      </c>
      <c r="L99" s="208">
        <f t="shared" si="23"/>
        <v>0</v>
      </c>
      <c r="M99" s="208">
        <f t="shared" si="23"/>
        <v>61</v>
      </c>
      <c r="N99" s="208">
        <f t="shared" si="23"/>
        <v>0</v>
      </c>
      <c r="O99" s="208">
        <f t="shared" si="23"/>
        <v>0</v>
      </c>
      <c r="P99" s="30">
        <f t="shared" si="24"/>
        <v>117</v>
      </c>
    </row>
    <row r="100" spans="1:16" customFormat="1" ht="15" x14ac:dyDescent="0.25">
      <c r="A100" s="4"/>
      <c r="B100" s="386"/>
      <c r="C100" s="27" t="s">
        <v>38</v>
      </c>
      <c r="D100" s="208">
        <f t="shared" si="23"/>
        <v>0</v>
      </c>
      <c r="E100" s="208">
        <f t="shared" si="23"/>
        <v>0</v>
      </c>
      <c r="F100" s="208">
        <f t="shared" si="23"/>
        <v>0</v>
      </c>
      <c r="G100" s="208">
        <f t="shared" si="23"/>
        <v>0</v>
      </c>
      <c r="H100" s="208">
        <f t="shared" si="23"/>
        <v>0</v>
      </c>
      <c r="I100" s="208">
        <f t="shared" si="23"/>
        <v>0</v>
      </c>
      <c r="J100" s="208">
        <f t="shared" si="23"/>
        <v>0</v>
      </c>
      <c r="K100" s="208">
        <f t="shared" si="23"/>
        <v>0</v>
      </c>
      <c r="L100" s="208">
        <f t="shared" si="23"/>
        <v>0</v>
      </c>
      <c r="M100" s="208">
        <f t="shared" si="23"/>
        <v>0</v>
      </c>
      <c r="N100" s="208">
        <f t="shared" si="23"/>
        <v>0</v>
      </c>
      <c r="O100" s="208">
        <f t="shared" si="23"/>
        <v>0</v>
      </c>
      <c r="P100" s="30">
        <f t="shared" si="24"/>
        <v>0</v>
      </c>
    </row>
    <row r="101" spans="1:16" customFormat="1" ht="15" x14ac:dyDescent="0.25">
      <c r="A101" s="4"/>
      <c r="B101" s="386"/>
      <c r="C101" s="27" t="s">
        <v>29</v>
      </c>
      <c r="D101" s="208">
        <f t="shared" si="23"/>
        <v>241</v>
      </c>
      <c r="E101" s="208">
        <f t="shared" si="23"/>
        <v>0</v>
      </c>
      <c r="F101" s="208">
        <f t="shared" si="23"/>
        <v>1046</v>
      </c>
      <c r="G101" s="208">
        <f t="shared" si="23"/>
        <v>0</v>
      </c>
      <c r="H101" s="208">
        <f t="shared" si="23"/>
        <v>0</v>
      </c>
      <c r="I101" s="208">
        <f t="shared" si="23"/>
        <v>0</v>
      </c>
      <c r="J101" s="208">
        <f t="shared" si="23"/>
        <v>0</v>
      </c>
      <c r="K101" s="208">
        <f t="shared" si="23"/>
        <v>0</v>
      </c>
      <c r="L101" s="208">
        <f t="shared" si="23"/>
        <v>0</v>
      </c>
      <c r="M101" s="208">
        <f t="shared" si="23"/>
        <v>165</v>
      </c>
      <c r="N101" s="208">
        <f t="shared" si="23"/>
        <v>0</v>
      </c>
      <c r="O101" s="208">
        <f t="shared" si="23"/>
        <v>0</v>
      </c>
      <c r="P101" s="30">
        <f t="shared" si="24"/>
        <v>1452</v>
      </c>
    </row>
    <row r="102" spans="1:16" customFormat="1" ht="15" x14ac:dyDescent="0.25">
      <c r="A102" s="4"/>
      <c r="B102" s="381" t="s">
        <v>30</v>
      </c>
      <c r="C102" s="381"/>
      <c r="D102" s="29">
        <f>SUM(D94:D101)</f>
        <v>18483</v>
      </c>
      <c r="E102" s="29">
        <f t="shared" ref="E102:O102" si="25">SUM(E94:E101)</f>
        <v>17851</v>
      </c>
      <c r="F102" s="29">
        <f t="shared" si="25"/>
        <v>18662</v>
      </c>
      <c r="G102" s="29">
        <f t="shared" si="25"/>
        <v>47124</v>
      </c>
      <c r="H102" s="29">
        <f t="shared" si="25"/>
        <v>46245</v>
      </c>
      <c r="I102" s="29">
        <f t="shared" si="25"/>
        <v>46494</v>
      </c>
      <c r="J102" s="29">
        <f t="shared" si="25"/>
        <v>51174</v>
      </c>
      <c r="K102" s="29">
        <f t="shared" si="25"/>
        <v>50665</v>
      </c>
      <c r="L102" s="29">
        <f t="shared" si="25"/>
        <v>51714</v>
      </c>
      <c r="M102" s="29">
        <f t="shared" si="25"/>
        <v>51049</v>
      </c>
      <c r="N102" s="29">
        <f t="shared" si="25"/>
        <v>72538</v>
      </c>
      <c r="O102" s="29">
        <f t="shared" si="25"/>
        <v>126377</v>
      </c>
      <c r="P102" s="29">
        <f t="shared" si="24"/>
        <v>598376</v>
      </c>
    </row>
    <row r="103" spans="1:16" customFormat="1" ht="15" x14ac:dyDescent="0.25">
      <c r="A103" s="4"/>
      <c r="B103" s="380" t="s">
        <v>39</v>
      </c>
      <c r="C103" s="34" t="s">
        <v>40</v>
      </c>
      <c r="D103" s="208">
        <f t="shared" ref="D103:O104" si="26">+D72+D41</f>
        <v>618580</v>
      </c>
      <c r="E103" s="208">
        <f t="shared" si="26"/>
        <v>629850</v>
      </c>
      <c r="F103" s="208">
        <f t="shared" si="26"/>
        <v>621140</v>
      </c>
      <c r="G103" s="208">
        <f t="shared" si="26"/>
        <v>615960</v>
      </c>
      <c r="H103" s="208">
        <f t="shared" si="26"/>
        <v>605270</v>
      </c>
      <c r="I103" s="208">
        <f t="shared" si="26"/>
        <v>603790</v>
      </c>
      <c r="J103" s="208">
        <f t="shared" si="26"/>
        <v>603870</v>
      </c>
      <c r="K103" s="208">
        <f t="shared" si="26"/>
        <v>604410</v>
      </c>
      <c r="L103" s="208">
        <f t="shared" si="26"/>
        <v>593110</v>
      </c>
      <c r="M103" s="208">
        <f t="shared" si="26"/>
        <v>609970</v>
      </c>
      <c r="N103" s="208">
        <f t="shared" si="26"/>
        <v>622600</v>
      </c>
      <c r="O103" s="208">
        <f t="shared" si="26"/>
        <v>620280</v>
      </c>
      <c r="P103" s="30">
        <f t="shared" si="24"/>
        <v>7348830</v>
      </c>
    </row>
    <row r="104" spans="1:16" customFormat="1" ht="15" x14ac:dyDescent="0.25">
      <c r="A104" s="4"/>
      <c r="B104" s="380"/>
      <c r="C104" s="34" t="s">
        <v>13</v>
      </c>
      <c r="D104" s="208">
        <f t="shared" si="26"/>
        <v>2188182</v>
      </c>
      <c r="E104" s="208">
        <f t="shared" si="26"/>
        <v>2126888</v>
      </c>
      <c r="F104" s="208">
        <f t="shared" si="26"/>
        <v>2197840</v>
      </c>
      <c r="G104" s="208">
        <f t="shared" si="26"/>
        <v>2359928</v>
      </c>
      <c r="H104" s="208">
        <f t="shared" si="26"/>
        <v>2431471</v>
      </c>
      <c r="I104" s="208">
        <f t="shared" si="26"/>
        <v>2336354</v>
      </c>
      <c r="J104" s="208">
        <f t="shared" si="26"/>
        <v>2317715</v>
      </c>
      <c r="K104" s="208">
        <f t="shared" si="26"/>
        <v>2329382</v>
      </c>
      <c r="L104" s="208">
        <f t="shared" si="26"/>
        <v>2469652</v>
      </c>
      <c r="M104" s="208">
        <f t="shared" si="26"/>
        <v>2257201</v>
      </c>
      <c r="N104" s="208">
        <f t="shared" si="26"/>
        <v>2136975</v>
      </c>
      <c r="O104" s="208">
        <f t="shared" si="26"/>
        <v>2106374</v>
      </c>
      <c r="P104" s="30">
        <f t="shared" si="24"/>
        <v>27257962</v>
      </c>
    </row>
    <row r="105" spans="1:16" customFormat="1" ht="15" x14ac:dyDescent="0.25">
      <c r="A105" s="4"/>
      <c r="B105" s="381" t="s">
        <v>30</v>
      </c>
      <c r="C105" s="381"/>
      <c r="D105" s="29">
        <f>SUM(D103:D104)</f>
        <v>2806762</v>
      </c>
      <c r="E105" s="29">
        <f t="shared" ref="E105:O105" si="27">SUM(E103:E104)</f>
        <v>2756738</v>
      </c>
      <c r="F105" s="29">
        <f t="shared" si="27"/>
        <v>2818980</v>
      </c>
      <c r="G105" s="29">
        <f t="shared" si="27"/>
        <v>2975888</v>
      </c>
      <c r="H105" s="29">
        <f t="shared" si="27"/>
        <v>3036741</v>
      </c>
      <c r="I105" s="29">
        <f t="shared" si="27"/>
        <v>2940144</v>
      </c>
      <c r="J105" s="29">
        <f t="shared" si="27"/>
        <v>2921585</v>
      </c>
      <c r="K105" s="29">
        <f t="shared" si="27"/>
        <v>2933792</v>
      </c>
      <c r="L105" s="29">
        <f t="shared" si="27"/>
        <v>3062762</v>
      </c>
      <c r="M105" s="29">
        <f t="shared" si="27"/>
        <v>2867171</v>
      </c>
      <c r="N105" s="29">
        <f t="shared" si="27"/>
        <v>2759575</v>
      </c>
      <c r="O105" s="29">
        <f t="shared" si="27"/>
        <v>2726654</v>
      </c>
      <c r="P105" s="29">
        <f t="shared" si="24"/>
        <v>34606792</v>
      </c>
    </row>
    <row r="106" spans="1:16" customFormat="1" ht="15" x14ac:dyDescent="0.25">
      <c r="A106" s="4"/>
      <c r="B106" s="380" t="s">
        <v>41</v>
      </c>
      <c r="C106" s="34" t="s">
        <v>40</v>
      </c>
      <c r="D106" s="208">
        <f t="shared" ref="D106:O107" si="28">+D75+D44</f>
        <v>7980</v>
      </c>
      <c r="E106" s="208">
        <f t="shared" si="28"/>
        <v>8220</v>
      </c>
      <c r="F106" s="208">
        <f t="shared" si="28"/>
        <v>8100</v>
      </c>
      <c r="G106" s="208">
        <f t="shared" si="28"/>
        <v>7580</v>
      </c>
      <c r="H106" s="208">
        <f t="shared" si="28"/>
        <v>7520</v>
      </c>
      <c r="I106" s="208">
        <f t="shared" si="28"/>
        <v>7610</v>
      </c>
      <c r="J106" s="208">
        <f t="shared" si="28"/>
        <v>7680</v>
      </c>
      <c r="K106" s="208">
        <f t="shared" si="28"/>
        <v>7670</v>
      </c>
      <c r="L106" s="208">
        <f t="shared" si="28"/>
        <v>7180</v>
      </c>
      <c r="M106" s="208">
        <f t="shared" si="28"/>
        <v>7600</v>
      </c>
      <c r="N106" s="208">
        <f t="shared" si="28"/>
        <v>7970</v>
      </c>
      <c r="O106" s="208">
        <f t="shared" si="28"/>
        <v>7860</v>
      </c>
      <c r="P106" s="31">
        <f t="shared" si="24"/>
        <v>92970</v>
      </c>
    </row>
    <row r="107" spans="1:16" customFormat="1" ht="15" x14ac:dyDescent="0.25">
      <c r="A107" s="4"/>
      <c r="B107" s="380"/>
      <c r="C107" s="34" t="s">
        <v>13</v>
      </c>
      <c r="D107" s="208">
        <f t="shared" si="28"/>
        <v>136049</v>
      </c>
      <c r="E107" s="208">
        <f t="shared" si="28"/>
        <v>143120</v>
      </c>
      <c r="F107" s="208">
        <f t="shared" si="28"/>
        <v>116603</v>
      </c>
      <c r="G107" s="208">
        <f t="shared" si="28"/>
        <v>180373</v>
      </c>
      <c r="H107" s="208">
        <f t="shared" si="28"/>
        <v>116167</v>
      </c>
      <c r="I107" s="208">
        <f t="shared" si="28"/>
        <v>138128</v>
      </c>
      <c r="J107" s="208">
        <f t="shared" si="28"/>
        <v>146969</v>
      </c>
      <c r="K107" s="208">
        <f t="shared" si="28"/>
        <v>128291</v>
      </c>
      <c r="L107" s="208">
        <f t="shared" si="28"/>
        <v>132343</v>
      </c>
      <c r="M107" s="208">
        <f t="shared" si="28"/>
        <v>125806</v>
      </c>
      <c r="N107" s="208">
        <f t="shared" si="28"/>
        <v>115143</v>
      </c>
      <c r="O107" s="208">
        <f t="shared" si="28"/>
        <v>90773</v>
      </c>
      <c r="P107" s="31">
        <f t="shared" si="24"/>
        <v>1569765</v>
      </c>
    </row>
    <row r="108" spans="1:16" customFormat="1" ht="15" x14ac:dyDescent="0.25">
      <c r="A108" s="4"/>
      <c r="B108" s="381" t="s">
        <v>30</v>
      </c>
      <c r="C108" s="381"/>
      <c r="D108" s="29">
        <f>SUM(D106:D107)</f>
        <v>144029</v>
      </c>
      <c r="E108" s="29">
        <f t="shared" ref="E108:O108" si="29">SUM(E106:E107)</f>
        <v>151340</v>
      </c>
      <c r="F108" s="29">
        <f t="shared" si="29"/>
        <v>124703</v>
      </c>
      <c r="G108" s="29">
        <f t="shared" si="29"/>
        <v>187953</v>
      </c>
      <c r="H108" s="29">
        <f t="shared" si="29"/>
        <v>123687</v>
      </c>
      <c r="I108" s="29">
        <f t="shared" si="29"/>
        <v>145738</v>
      </c>
      <c r="J108" s="29">
        <f t="shared" si="29"/>
        <v>154649</v>
      </c>
      <c r="K108" s="29">
        <f t="shared" si="29"/>
        <v>135961</v>
      </c>
      <c r="L108" s="29">
        <f t="shared" si="29"/>
        <v>139523</v>
      </c>
      <c r="M108" s="29">
        <f t="shared" si="29"/>
        <v>133406</v>
      </c>
      <c r="N108" s="29">
        <f t="shared" si="29"/>
        <v>123113</v>
      </c>
      <c r="O108" s="29">
        <f t="shared" si="29"/>
        <v>98633</v>
      </c>
      <c r="P108" s="29">
        <f t="shared" si="24"/>
        <v>1662735</v>
      </c>
    </row>
    <row r="109" spans="1:16" customFormat="1" ht="15" x14ac:dyDescent="0.25">
      <c r="A109" s="4"/>
      <c r="B109" s="380" t="s">
        <v>42</v>
      </c>
      <c r="C109" s="34" t="s">
        <v>40</v>
      </c>
      <c r="D109" s="208">
        <f t="shared" ref="D109:O110" si="30">+D78+D47</f>
        <v>11570</v>
      </c>
      <c r="E109" s="208">
        <f t="shared" si="30"/>
        <v>13730</v>
      </c>
      <c r="F109" s="208">
        <f t="shared" si="30"/>
        <v>12080</v>
      </c>
      <c r="G109" s="208">
        <f t="shared" si="30"/>
        <v>10940</v>
      </c>
      <c r="H109" s="208">
        <f t="shared" si="30"/>
        <v>10380</v>
      </c>
      <c r="I109" s="208">
        <f t="shared" si="30"/>
        <v>10570</v>
      </c>
      <c r="J109" s="208">
        <f t="shared" si="30"/>
        <v>10470</v>
      </c>
      <c r="K109" s="208">
        <f t="shared" si="30"/>
        <v>9580</v>
      </c>
      <c r="L109" s="208">
        <f t="shared" si="30"/>
        <v>10280</v>
      </c>
      <c r="M109" s="208">
        <f t="shared" si="30"/>
        <v>10230</v>
      </c>
      <c r="N109" s="208">
        <f t="shared" si="30"/>
        <v>11350</v>
      </c>
      <c r="O109" s="208">
        <f t="shared" si="30"/>
        <v>11540</v>
      </c>
      <c r="P109" s="30">
        <f t="shared" si="24"/>
        <v>132720</v>
      </c>
    </row>
    <row r="110" spans="1:16" customFormat="1" ht="15" x14ac:dyDescent="0.25">
      <c r="A110" s="4"/>
      <c r="B110" s="380"/>
      <c r="C110" s="34" t="s">
        <v>13</v>
      </c>
      <c r="D110" s="208">
        <f t="shared" si="30"/>
        <v>1735393</v>
      </c>
      <c r="E110" s="208">
        <f t="shared" si="30"/>
        <v>1454620</v>
      </c>
      <c r="F110" s="208">
        <f t="shared" si="30"/>
        <v>1543864</v>
      </c>
      <c r="G110" s="208">
        <f t="shared" si="30"/>
        <v>1819146</v>
      </c>
      <c r="H110" s="208">
        <f t="shared" si="30"/>
        <v>1891153</v>
      </c>
      <c r="I110" s="208">
        <f t="shared" si="30"/>
        <v>1876791</v>
      </c>
      <c r="J110" s="208">
        <f t="shared" si="30"/>
        <v>1911078</v>
      </c>
      <c r="K110" s="208">
        <f t="shared" si="30"/>
        <v>2050003</v>
      </c>
      <c r="L110" s="208">
        <f t="shared" si="30"/>
        <v>1795883</v>
      </c>
      <c r="M110" s="208">
        <f t="shared" si="30"/>
        <v>1901606</v>
      </c>
      <c r="N110" s="208">
        <f t="shared" si="30"/>
        <v>1612061</v>
      </c>
      <c r="O110" s="208">
        <f t="shared" si="30"/>
        <v>1560205</v>
      </c>
      <c r="P110" s="31">
        <f t="shared" si="24"/>
        <v>21151803</v>
      </c>
    </row>
    <row r="111" spans="1:16" customFormat="1" ht="15" x14ac:dyDescent="0.25">
      <c r="A111" s="4"/>
      <c r="B111" s="381" t="s">
        <v>30</v>
      </c>
      <c r="C111" s="381"/>
      <c r="D111" s="29">
        <f>SUM(D109:D110)</f>
        <v>1746963</v>
      </c>
      <c r="E111" s="29">
        <f t="shared" ref="E111:O111" si="31">SUM(E109:E110)</f>
        <v>1468350</v>
      </c>
      <c r="F111" s="29">
        <f t="shared" si="31"/>
        <v>1555944</v>
      </c>
      <c r="G111" s="29">
        <f t="shared" si="31"/>
        <v>1830086</v>
      </c>
      <c r="H111" s="29">
        <f t="shared" si="31"/>
        <v>1901533</v>
      </c>
      <c r="I111" s="29">
        <f t="shared" si="31"/>
        <v>1887361</v>
      </c>
      <c r="J111" s="29">
        <f t="shared" si="31"/>
        <v>1921548</v>
      </c>
      <c r="K111" s="29">
        <f t="shared" si="31"/>
        <v>2059583</v>
      </c>
      <c r="L111" s="29">
        <f t="shared" si="31"/>
        <v>1806163</v>
      </c>
      <c r="M111" s="29">
        <f t="shared" si="31"/>
        <v>1911836</v>
      </c>
      <c r="N111" s="29">
        <f t="shared" si="31"/>
        <v>1623411</v>
      </c>
      <c r="O111" s="29">
        <f t="shared" si="31"/>
        <v>1571745</v>
      </c>
      <c r="P111" s="29">
        <f t="shared" si="24"/>
        <v>21284523</v>
      </c>
    </row>
    <row r="112" spans="1:16" customFormat="1" ht="15" x14ac:dyDescent="0.25">
      <c r="A112" s="4"/>
      <c r="B112" s="382" t="s">
        <v>43</v>
      </c>
      <c r="C112" s="382"/>
      <c r="D112" s="32">
        <f>D93+D102+D105+D108+D111</f>
        <v>28566085</v>
      </c>
      <c r="E112" s="32">
        <f t="shared" ref="E112:O112" si="32">E93+E102+E105+E108+E111</f>
        <v>27544407</v>
      </c>
      <c r="F112" s="32">
        <f t="shared" si="32"/>
        <v>28048459</v>
      </c>
      <c r="G112" s="32">
        <f t="shared" si="32"/>
        <v>29106994</v>
      </c>
      <c r="H112" s="32">
        <f t="shared" si="32"/>
        <v>29590988</v>
      </c>
      <c r="I112" s="32">
        <f t="shared" si="32"/>
        <v>29386814</v>
      </c>
      <c r="J112" s="32">
        <f t="shared" si="32"/>
        <v>29265307</v>
      </c>
      <c r="K112" s="32">
        <f t="shared" si="32"/>
        <v>29712234</v>
      </c>
      <c r="L112" s="32">
        <f t="shared" si="32"/>
        <v>30290449</v>
      </c>
      <c r="M112" s="32">
        <f t="shared" si="32"/>
        <v>28924106</v>
      </c>
      <c r="N112" s="32">
        <f t="shared" si="32"/>
        <v>27419373</v>
      </c>
      <c r="O112" s="32">
        <f t="shared" si="32"/>
        <v>27214147</v>
      </c>
      <c r="P112" s="32">
        <f t="shared" si="24"/>
        <v>345069363</v>
      </c>
    </row>
    <row r="113" spans="1:16" x14ac:dyDescent="0.2">
      <c r="A113" s="9"/>
      <c r="B113" s="22" t="s">
        <v>44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x14ac:dyDescent="0.2">
      <c r="P114" s="33"/>
    </row>
    <row r="115" spans="1:16" x14ac:dyDescent="0.2">
      <c r="P115" s="33"/>
    </row>
    <row r="116" spans="1:16" x14ac:dyDescent="0.2">
      <c r="P116" s="33"/>
    </row>
  </sheetData>
  <mergeCells count="41">
    <mergeCell ref="B43:C43"/>
    <mergeCell ref="B8:P8"/>
    <mergeCell ref="B9:C9"/>
    <mergeCell ref="B10:C10"/>
    <mergeCell ref="B11:C11"/>
    <mergeCell ref="B12:C12"/>
    <mergeCell ref="B21:P21"/>
    <mergeCell ref="B23:B30"/>
    <mergeCell ref="B31:C31"/>
    <mergeCell ref="B32:B39"/>
    <mergeCell ref="B40:C40"/>
    <mergeCell ref="B41:B42"/>
    <mergeCell ref="B74:C74"/>
    <mergeCell ref="B44:B45"/>
    <mergeCell ref="B46:C46"/>
    <mergeCell ref="B47:B48"/>
    <mergeCell ref="B49:C49"/>
    <mergeCell ref="B50:C50"/>
    <mergeCell ref="B52:P52"/>
    <mergeCell ref="B54:B61"/>
    <mergeCell ref="B62:C62"/>
    <mergeCell ref="B63:B70"/>
    <mergeCell ref="B71:C71"/>
    <mergeCell ref="B72:B73"/>
    <mergeCell ref="B105:C105"/>
    <mergeCell ref="B75:B76"/>
    <mergeCell ref="B77:C77"/>
    <mergeCell ref="B78:B79"/>
    <mergeCell ref="B80:C80"/>
    <mergeCell ref="B81:C81"/>
    <mergeCell ref="B83:P83"/>
    <mergeCell ref="B85:B92"/>
    <mergeCell ref="B93:C93"/>
    <mergeCell ref="B94:B101"/>
    <mergeCell ref="B102:C102"/>
    <mergeCell ref="B103:B104"/>
    <mergeCell ref="B106:B107"/>
    <mergeCell ref="B108:C108"/>
    <mergeCell ref="B109:B110"/>
    <mergeCell ref="B111:C111"/>
    <mergeCell ref="B112:C11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23"/>
  <sheetViews>
    <sheetView showGridLines="0" zoomScale="80" zoomScaleNormal="80" workbookViewId="0"/>
  </sheetViews>
  <sheetFormatPr defaultRowHeight="15" x14ac:dyDescent="0.25"/>
  <cols>
    <col min="2" max="2" width="28.42578125" bestFit="1" customWidth="1"/>
    <col min="3" max="3" width="20.5703125" customWidth="1"/>
    <col min="4" max="4" width="0.85546875" customWidth="1"/>
    <col min="5" max="5" width="27" bestFit="1" customWidth="1"/>
    <col min="6" max="6" width="19.42578125" customWidth="1"/>
    <col min="7" max="7" width="1.140625" customWidth="1"/>
    <col min="8" max="8" width="25.140625" bestFit="1" customWidth="1"/>
    <col min="10" max="10" width="38.7109375" customWidth="1"/>
    <col min="11" max="11" width="25" customWidth="1"/>
    <col min="14" max="14" width="11.85546875" customWidth="1"/>
  </cols>
  <sheetData>
    <row r="2" spans="2:11" ht="18.75" x14ac:dyDescent="0.25">
      <c r="B2" s="396" t="s">
        <v>234</v>
      </c>
      <c r="C2" s="396"/>
      <c r="D2" s="396"/>
      <c r="E2" s="396"/>
      <c r="F2" s="396"/>
      <c r="G2" s="396"/>
      <c r="H2" s="396"/>
    </row>
    <row r="3" spans="2:11" ht="18.75" x14ac:dyDescent="0.25">
      <c r="B3" s="393" t="s">
        <v>52</v>
      </c>
      <c r="C3" s="393"/>
      <c r="D3" s="44"/>
      <c r="E3" s="393" t="s">
        <v>53</v>
      </c>
      <c r="F3" s="393"/>
      <c r="G3" s="44"/>
      <c r="H3" s="45" t="s">
        <v>54</v>
      </c>
    </row>
    <row r="4" spans="2:11" ht="15.75" x14ac:dyDescent="0.25">
      <c r="B4" s="45" t="s">
        <v>55</v>
      </c>
      <c r="C4" s="45" t="s">
        <v>56</v>
      </c>
      <c r="D4" s="46"/>
      <c r="E4" s="45" t="s">
        <v>57</v>
      </c>
      <c r="F4" s="45" t="s">
        <v>58</v>
      </c>
      <c r="G4" s="46"/>
      <c r="H4" s="45" t="s">
        <v>59</v>
      </c>
    </row>
    <row r="5" spans="2:11" ht="15.75" x14ac:dyDescent="0.25">
      <c r="B5" s="47">
        <v>42005</v>
      </c>
      <c r="C5" s="315">
        <v>5158672</v>
      </c>
      <c r="D5" s="49"/>
      <c r="E5" s="47">
        <v>42370</v>
      </c>
      <c r="F5" s="315">
        <v>3635183</v>
      </c>
      <c r="G5" s="50"/>
      <c r="H5" s="51">
        <f>IF(C5-F5&lt;=0,"",C5-F5)</f>
        <v>1523489</v>
      </c>
    </row>
    <row r="6" spans="2:11" ht="15.75" x14ac:dyDescent="0.25">
      <c r="B6" s="47">
        <v>42036</v>
      </c>
      <c r="C6" s="315">
        <v>5595690</v>
      </c>
      <c r="D6" s="49"/>
      <c r="E6" s="47">
        <f>+E5+31</f>
        <v>42401</v>
      </c>
      <c r="F6" s="315">
        <v>3927816</v>
      </c>
      <c r="G6" s="50"/>
      <c r="H6" s="51">
        <f t="shared" ref="H6:H22" si="0">IF(C6-F6&lt;=0,"",C6-F6)</f>
        <v>1667874</v>
      </c>
    </row>
    <row r="7" spans="2:11" ht="15.75" x14ac:dyDescent="0.25">
      <c r="B7" s="47">
        <v>42064</v>
      </c>
      <c r="C7" s="315">
        <v>2470702</v>
      </c>
      <c r="D7" s="49"/>
      <c r="E7" s="47">
        <f t="shared" ref="E7:E16" si="1">+E6+31</f>
        <v>42432</v>
      </c>
      <c r="F7" s="315">
        <v>1747590</v>
      </c>
      <c r="G7" s="50"/>
      <c r="H7" s="51">
        <f t="shared" si="0"/>
        <v>723112</v>
      </c>
    </row>
    <row r="8" spans="2:11" ht="15.75" x14ac:dyDescent="0.25">
      <c r="B8" s="47">
        <v>42095</v>
      </c>
      <c r="C8" s="315">
        <v>3142748</v>
      </c>
      <c r="D8" s="49"/>
      <c r="E8" s="47">
        <f t="shared" si="1"/>
        <v>42463</v>
      </c>
      <c r="F8" s="315">
        <v>2296641</v>
      </c>
      <c r="G8" s="50"/>
      <c r="H8" s="51">
        <f t="shared" si="0"/>
        <v>846107</v>
      </c>
    </row>
    <row r="9" spans="2:11" ht="15.75" x14ac:dyDescent="0.25">
      <c r="B9" s="47">
        <v>42125</v>
      </c>
      <c r="C9" s="315">
        <v>3114498</v>
      </c>
      <c r="D9" s="49"/>
      <c r="E9" s="47">
        <f t="shared" si="1"/>
        <v>42494</v>
      </c>
      <c r="F9" s="315">
        <v>2283317</v>
      </c>
      <c r="G9" s="50"/>
      <c r="H9" s="51">
        <f t="shared" si="0"/>
        <v>831181</v>
      </c>
    </row>
    <row r="10" spans="2:11" ht="15.75" x14ac:dyDescent="0.25">
      <c r="B10" s="47">
        <v>42156</v>
      </c>
      <c r="C10" s="315">
        <v>3634111</v>
      </c>
      <c r="D10" s="49"/>
      <c r="E10" s="47">
        <f t="shared" si="1"/>
        <v>42525</v>
      </c>
      <c r="F10" s="315">
        <v>2627531</v>
      </c>
      <c r="G10" s="50"/>
      <c r="H10" s="51">
        <f t="shared" si="0"/>
        <v>1006580</v>
      </c>
    </row>
    <row r="11" spans="2:11" ht="17.25" x14ac:dyDescent="0.25">
      <c r="B11" s="47">
        <v>42186</v>
      </c>
      <c r="C11" s="315">
        <v>3945282</v>
      </c>
      <c r="D11" s="49"/>
      <c r="E11" s="47">
        <f t="shared" si="1"/>
        <v>42556</v>
      </c>
      <c r="F11" s="315">
        <v>2892498</v>
      </c>
      <c r="G11" s="50"/>
      <c r="H11" s="51">
        <f t="shared" si="0"/>
        <v>1052784</v>
      </c>
      <c r="J11" s="394" t="s">
        <v>60</v>
      </c>
      <c r="K11" s="395"/>
    </row>
    <row r="12" spans="2:11" ht="15.75" x14ac:dyDescent="0.25">
      <c r="B12" s="47">
        <v>42217</v>
      </c>
      <c r="C12" s="315">
        <v>3594980</v>
      </c>
      <c r="D12" s="49"/>
      <c r="E12" s="47">
        <f t="shared" si="1"/>
        <v>42587</v>
      </c>
      <c r="F12" s="315">
        <v>2611508</v>
      </c>
      <c r="G12" s="50"/>
      <c r="H12" s="51">
        <f t="shared" si="0"/>
        <v>983472</v>
      </c>
      <c r="J12" s="52" t="s">
        <v>61</v>
      </c>
      <c r="K12" s="53">
        <f>SUM(H5:H22)</f>
        <v>14666692</v>
      </c>
    </row>
    <row r="13" spans="2:11" ht="15.75" x14ac:dyDescent="0.25">
      <c r="B13" s="47">
        <v>42248</v>
      </c>
      <c r="C13" s="315">
        <v>5080199</v>
      </c>
      <c r="D13" s="49"/>
      <c r="E13" s="47">
        <f t="shared" si="1"/>
        <v>42618</v>
      </c>
      <c r="F13" s="315">
        <v>3778980</v>
      </c>
      <c r="G13" s="50"/>
      <c r="H13" s="51">
        <f t="shared" si="0"/>
        <v>1301219</v>
      </c>
      <c r="J13" s="54" t="s">
        <v>62</v>
      </c>
      <c r="K13" s="55">
        <v>0.2</v>
      </c>
    </row>
    <row r="14" spans="2:11" ht="15.75" x14ac:dyDescent="0.25">
      <c r="B14" s="47">
        <v>42278</v>
      </c>
      <c r="C14" s="315">
        <v>5822155</v>
      </c>
      <c r="D14" s="49"/>
      <c r="E14" s="47">
        <f t="shared" si="1"/>
        <v>42649</v>
      </c>
      <c r="F14" s="315">
        <v>4241314</v>
      </c>
      <c r="G14" s="50"/>
      <c r="H14" s="51">
        <f t="shared" si="0"/>
        <v>1580841</v>
      </c>
      <c r="J14" s="54" t="s">
        <v>63</v>
      </c>
      <c r="K14" s="56">
        <f>K12*K13</f>
        <v>2933338.4000000004</v>
      </c>
    </row>
    <row r="15" spans="2:11" ht="15.75" x14ac:dyDescent="0.25">
      <c r="B15" s="47">
        <v>42309</v>
      </c>
      <c r="C15" s="315">
        <v>6110221</v>
      </c>
      <c r="D15" s="49"/>
      <c r="E15" s="47">
        <f t="shared" si="1"/>
        <v>42680</v>
      </c>
      <c r="F15" s="315">
        <v>4386022</v>
      </c>
      <c r="G15" s="50"/>
      <c r="H15" s="51">
        <f t="shared" si="0"/>
        <v>1724199</v>
      </c>
      <c r="J15" s="57" t="s">
        <v>64</v>
      </c>
      <c r="K15" s="58">
        <f>+Revisão_homologada!D10</f>
        <v>2.86</v>
      </c>
    </row>
    <row r="16" spans="2:11" ht="15.75" x14ac:dyDescent="0.25">
      <c r="B16" s="47">
        <v>42339</v>
      </c>
      <c r="C16" s="315">
        <v>5081556</v>
      </c>
      <c r="D16" s="49"/>
      <c r="E16" s="47">
        <f t="shared" si="1"/>
        <v>42711</v>
      </c>
      <c r="F16" s="315">
        <v>3655722</v>
      </c>
      <c r="G16" s="50"/>
      <c r="H16" s="51">
        <f t="shared" si="0"/>
        <v>1425834</v>
      </c>
      <c r="J16" s="57" t="s">
        <v>65</v>
      </c>
      <c r="K16" s="59">
        <f>K14*K15</f>
        <v>8389347.824000001</v>
      </c>
    </row>
    <row r="17" spans="2:10" ht="15.75" x14ac:dyDescent="0.25">
      <c r="B17" s="47"/>
      <c r="C17" s="48"/>
      <c r="D17" s="49"/>
      <c r="E17" s="47"/>
      <c r="F17" s="48"/>
      <c r="G17" s="50"/>
      <c r="H17" s="51" t="str">
        <f t="shared" si="0"/>
        <v/>
      </c>
    </row>
    <row r="18" spans="2:10" ht="15.75" x14ac:dyDescent="0.25">
      <c r="B18" s="47"/>
      <c r="C18" s="48"/>
      <c r="D18" s="49"/>
      <c r="E18" s="47"/>
      <c r="F18" s="48"/>
      <c r="G18" s="50"/>
      <c r="H18" s="51" t="str">
        <f t="shared" si="0"/>
        <v/>
      </c>
      <c r="J18" s="60" t="s">
        <v>243</v>
      </c>
    </row>
    <row r="19" spans="2:10" ht="15.75" x14ac:dyDescent="0.25">
      <c r="B19" s="47"/>
      <c r="C19" s="48"/>
      <c r="D19" s="49"/>
      <c r="E19" s="47"/>
      <c r="F19" s="48"/>
      <c r="G19" s="50"/>
      <c r="H19" s="51" t="str">
        <f t="shared" si="0"/>
        <v/>
      </c>
    </row>
    <row r="20" spans="2:10" ht="15.75" x14ac:dyDescent="0.25">
      <c r="B20" s="47"/>
      <c r="C20" s="48"/>
      <c r="D20" s="49"/>
      <c r="E20" s="47"/>
      <c r="F20" s="48"/>
      <c r="G20" s="50"/>
      <c r="H20" s="51" t="str">
        <f t="shared" si="0"/>
        <v/>
      </c>
    </row>
    <row r="21" spans="2:10" ht="15.75" x14ac:dyDescent="0.25">
      <c r="B21" s="47"/>
      <c r="C21" s="48"/>
      <c r="D21" s="49"/>
      <c r="E21" s="47"/>
      <c r="F21" s="48"/>
      <c r="G21" s="50"/>
      <c r="H21" s="51" t="str">
        <f t="shared" si="0"/>
        <v/>
      </c>
    </row>
    <row r="22" spans="2:10" ht="15.75" x14ac:dyDescent="0.25">
      <c r="B22" s="47"/>
      <c r="C22" s="48"/>
      <c r="D22" s="49"/>
      <c r="E22" s="47"/>
      <c r="F22" s="48"/>
      <c r="G22" s="50"/>
      <c r="H22" s="51" t="str">
        <f t="shared" si="0"/>
        <v/>
      </c>
    </row>
    <row r="23" spans="2:10" ht="20.25" customHeight="1" x14ac:dyDescent="0.25">
      <c r="B23" s="35" t="s">
        <v>44</v>
      </c>
    </row>
  </sheetData>
  <mergeCells count="4">
    <mergeCell ref="B3:C3"/>
    <mergeCell ref="E3:F3"/>
    <mergeCell ref="J11:K11"/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23"/>
  <sheetViews>
    <sheetView showGridLines="0" zoomScale="80" zoomScaleNormal="80" workbookViewId="0"/>
  </sheetViews>
  <sheetFormatPr defaultRowHeight="15" x14ac:dyDescent="0.25"/>
  <cols>
    <col min="2" max="2" width="28.42578125" bestFit="1" customWidth="1"/>
    <col min="3" max="3" width="20.5703125" customWidth="1"/>
    <col min="4" max="4" width="0.85546875" customWidth="1"/>
    <col min="5" max="5" width="27" bestFit="1" customWidth="1"/>
    <col min="6" max="6" width="19.42578125" customWidth="1"/>
    <col min="7" max="7" width="1.140625" customWidth="1"/>
    <col min="8" max="8" width="25.140625" bestFit="1" customWidth="1"/>
    <col min="10" max="10" width="38.7109375" customWidth="1"/>
    <col min="11" max="11" width="25" customWidth="1"/>
    <col min="14" max="14" width="10.85546875" customWidth="1"/>
  </cols>
  <sheetData>
    <row r="2" spans="2:11" ht="18.75" x14ac:dyDescent="0.25">
      <c r="B2" s="396" t="s">
        <v>235</v>
      </c>
      <c r="C2" s="396"/>
      <c r="D2" s="396"/>
      <c r="E2" s="396"/>
      <c r="F2" s="396"/>
      <c r="G2" s="396"/>
      <c r="H2" s="396"/>
    </row>
    <row r="3" spans="2:11" ht="18.75" x14ac:dyDescent="0.25">
      <c r="B3" s="393" t="s">
        <v>52</v>
      </c>
      <c r="C3" s="393"/>
      <c r="D3" s="44"/>
      <c r="E3" s="393" t="s">
        <v>53</v>
      </c>
      <c r="F3" s="393"/>
      <c r="G3" s="44"/>
      <c r="H3" s="45" t="s">
        <v>54</v>
      </c>
    </row>
    <row r="4" spans="2:11" ht="15.75" x14ac:dyDescent="0.25">
      <c r="B4" s="45" t="s">
        <v>55</v>
      </c>
      <c r="C4" s="45" t="s">
        <v>56</v>
      </c>
      <c r="D4" s="46"/>
      <c r="E4" s="45" t="s">
        <v>57</v>
      </c>
      <c r="F4" s="45" t="s">
        <v>58</v>
      </c>
      <c r="G4" s="46"/>
      <c r="H4" s="45" t="s">
        <v>59</v>
      </c>
    </row>
    <row r="5" spans="2:11" ht="15.75" x14ac:dyDescent="0.25">
      <c r="B5" s="47">
        <v>42005</v>
      </c>
      <c r="C5" s="315">
        <v>4495</v>
      </c>
      <c r="D5" s="49"/>
      <c r="E5" s="47">
        <v>42370</v>
      </c>
      <c r="F5" s="315">
        <v>3575</v>
      </c>
      <c r="G5" s="50"/>
      <c r="H5" s="51">
        <f>IF(C5-F5&lt;=0,"",C5-F5)</f>
        <v>920</v>
      </c>
    </row>
    <row r="6" spans="2:11" ht="15.75" x14ac:dyDescent="0.25">
      <c r="B6" s="47">
        <v>42036</v>
      </c>
      <c r="C6" s="315">
        <v>4307</v>
      </c>
      <c r="D6" s="49"/>
      <c r="E6" s="47">
        <f>+E5+31</f>
        <v>42401</v>
      </c>
      <c r="F6" s="315">
        <v>3655</v>
      </c>
      <c r="G6" s="50"/>
      <c r="H6" s="51">
        <f t="shared" ref="H6:H22" si="0">IF(C6-F6&lt;=0,"",C6-F6)</f>
        <v>652</v>
      </c>
    </row>
    <row r="7" spans="2:11" ht="15.75" x14ac:dyDescent="0.25">
      <c r="B7" s="47">
        <v>42064</v>
      </c>
      <c r="C7" s="315">
        <v>645</v>
      </c>
      <c r="D7" s="49"/>
      <c r="E7" s="47">
        <f t="shared" ref="E7:E16" si="1">+E6+31</f>
        <v>42432</v>
      </c>
      <c r="F7" s="315">
        <v>408</v>
      </c>
      <c r="G7" s="50"/>
      <c r="H7" s="51">
        <f t="shared" si="0"/>
        <v>237</v>
      </c>
    </row>
    <row r="8" spans="2:11" ht="15.75" x14ac:dyDescent="0.25">
      <c r="B8" s="47">
        <v>42095</v>
      </c>
      <c r="C8" s="315">
        <v>867</v>
      </c>
      <c r="D8" s="49"/>
      <c r="E8" s="47">
        <f t="shared" si="1"/>
        <v>42463</v>
      </c>
      <c r="F8" s="315">
        <v>610</v>
      </c>
      <c r="G8" s="50"/>
      <c r="H8" s="51">
        <f t="shared" si="0"/>
        <v>257</v>
      </c>
    </row>
    <row r="9" spans="2:11" ht="15.75" x14ac:dyDescent="0.25">
      <c r="B9" s="47">
        <v>42125</v>
      </c>
      <c r="C9" s="315">
        <v>1023</v>
      </c>
      <c r="D9" s="49"/>
      <c r="E9" s="47">
        <f t="shared" si="1"/>
        <v>42494</v>
      </c>
      <c r="F9" s="315">
        <v>745</v>
      </c>
      <c r="G9" s="50"/>
      <c r="H9" s="51">
        <f t="shared" si="0"/>
        <v>278</v>
      </c>
    </row>
    <row r="10" spans="2:11" ht="15.75" x14ac:dyDescent="0.25">
      <c r="B10" s="47">
        <v>42156</v>
      </c>
      <c r="C10" s="315">
        <v>1060</v>
      </c>
      <c r="D10" s="49"/>
      <c r="E10" s="47">
        <f t="shared" si="1"/>
        <v>42525</v>
      </c>
      <c r="F10" s="315">
        <v>787</v>
      </c>
      <c r="G10" s="50"/>
      <c r="H10" s="51">
        <f t="shared" si="0"/>
        <v>273</v>
      </c>
    </row>
    <row r="11" spans="2:11" ht="17.25" x14ac:dyDescent="0.25">
      <c r="B11" s="47">
        <v>42186</v>
      </c>
      <c r="C11" s="315">
        <v>1403</v>
      </c>
      <c r="D11" s="49"/>
      <c r="E11" s="47">
        <f t="shared" si="1"/>
        <v>42556</v>
      </c>
      <c r="F11" s="315">
        <v>1009</v>
      </c>
      <c r="G11" s="50"/>
      <c r="H11" s="51">
        <f t="shared" si="0"/>
        <v>394</v>
      </c>
      <c r="J11" s="394" t="s">
        <v>60</v>
      </c>
      <c r="K11" s="395"/>
    </row>
    <row r="12" spans="2:11" ht="15.75" x14ac:dyDescent="0.25">
      <c r="B12" s="47">
        <v>42217</v>
      </c>
      <c r="C12" s="315">
        <v>1364</v>
      </c>
      <c r="D12" s="49"/>
      <c r="E12" s="47">
        <f t="shared" si="1"/>
        <v>42587</v>
      </c>
      <c r="F12" s="315">
        <v>844</v>
      </c>
      <c r="G12" s="50"/>
      <c r="H12" s="51">
        <f t="shared" si="0"/>
        <v>520</v>
      </c>
      <c r="J12" s="52" t="s">
        <v>61</v>
      </c>
      <c r="K12" s="53">
        <f>SUM(H5:H22)</f>
        <v>6161</v>
      </c>
    </row>
    <row r="13" spans="2:11" ht="15.75" x14ac:dyDescent="0.25">
      <c r="B13" s="47">
        <v>42248</v>
      </c>
      <c r="C13" s="315">
        <v>1453</v>
      </c>
      <c r="D13" s="49"/>
      <c r="E13" s="47">
        <f t="shared" si="1"/>
        <v>42618</v>
      </c>
      <c r="F13" s="315">
        <v>993</v>
      </c>
      <c r="G13" s="50"/>
      <c r="H13" s="51">
        <f t="shared" si="0"/>
        <v>460</v>
      </c>
      <c r="J13" s="54" t="s">
        <v>62</v>
      </c>
      <c r="K13" s="55">
        <v>0.2</v>
      </c>
    </row>
    <row r="14" spans="2:11" ht="15.75" x14ac:dyDescent="0.25">
      <c r="B14" s="47">
        <v>42278</v>
      </c>
      <c r="C14" s="315">
        <v>1873</v>
      </c>
      <c r="D14" s="49"/>
      <c r="E14" s="47">
        <f t="shared" si="1"/>
        <v>42649</v>
      </c>
      <c r="F14" s="315">
        <v>1254</v>
      </c>
      <c r="G14" s="50"/>
      <c r="H14" s="51">
        <f t="shared" si="0"/>
        <v>619</v>
      </c>
      <c r="J14" s="54" t="s">
        <v>63</v>
      </c>
      <c r="K14" s="56">
        <f>K12*K13</f>
        <v>1232.2</v>
      </c>
    </row>
    <row r="15" spans="2:11" ht="15.75" x14ac:dyDescent="0.25">
      <c r="B15" s="47">
        <v>42309</v>
      </c>
      <c r="C15" s="315">
        <v>4405</v>
      </c>
      <c r="D15" s="49"/>
      <c r="E15" s="47">
        <f t="shared" si="1"/>
        <v>42680</v>
      </c>
      <c r="F15" s="315">
        <v>3497</v>
      </c>
      <c r="G15" s="50"/>
      <c r="H15" s="51">
        <f t="shared" si="0"/>
        <v>908</v>
      </c>
      <c r="J15" s="57" t="s">
        <v>64</v>
      </c>
      <c r="K15" s="58">
        <f>+Revisão_homologada!C10</f>
        <v>2.14</v>
      </c>
    </row>
    <row r="16" spans="2:11" ht="15.75" x14ac:dyDescent="0.25">
      <c r="B16" s="47">
        <v>42339</v>
      </c>
      <c r="C16" s="315">
        <v>1816</v>
      </c>
      <c r="D16" s="49"/>
      <c r="E16" s="47">
        <f t="shared" si="1"/>
        <v>42711</v>
      </c>
      <c r="F16" s="315">
        <v>1173</v>
      </c>
      <c r="G16" s="50"/>
      <c r="H16" s="51">
        <f t="shared" si="0"/>
        <v>643</v>
      </c>
      <c r="J16" s="57" t="s">
        <v>65</v>
      </c>
      <c r="K16" s="59">
        <f>K14*K15</f>
        <v>2636.9080000000004</v>
      </c>
    </row>
    <row r="17" spans="2:10" ht="15.75" x14ac:dyDescent="0.25">
      <c r="B17" s="47"/>
      <c r="C17" s="48"/>
      <c r="D17" s="49"/>
      <c r="E17" s="47"/>
      <c r="F17" s="48"/>
      <c r="G17" s="50"/>
      <c r="H17" s="51" t="str">
        <f t="shared" si="0"/>
        <v/>
      </c>
    </row>
    <row r="18" spans="2:10" ht="15.75" x14ac:dyDescent="0.25">
      <c r="B18" s="47"/>
      <c r="C18" s="48"/>
      <c r="D18" s="49"/>
      <c r="E18" s="47"/>
      <c r="F18" s="48"/>
      <c r="G18" s="50"/>
      <c r="H18" s="51" t="str">
        <f t="shared" si="0"/>
        <v/>
      </c>
      <c r="J18" s="60" t="s">
        <v>243</v>
      </c>
    </row>
    <row r="19" spans="2:10" ht="15.75" x14ac:dyDescent="0.25">
      <c r="B19" s="47"/>
      <c r="C19" s="48"/>
      <c r="D19" s="49"/>
      <c r="E19" s="47"/>
      <c r="F19" s="48"/>
      <c r="G19" s="50"/>
      <c r="H19" s="51" t="str">
        <f t="shared" si="0"/>
        <v/>
      </c>
    </row>
    <row r="20" spans="2:10" ht="15.75" x14ac:dyDescent="0.25">
      <c r="B20" s="47"/>
      <c r="C20" s="48"/>
      <c r="D20" s="49"/>
      <c r="E20" s="47"/>
      <c r="F20" s="48"/>
      <c r="G20" s="50"/>
      <c r="H20" s="51" t="str">
        <f t="shared" si="0"/>
        <v/>
      </c>
    </row>
    <row r="21" spans="2:10" ht="15.75" x14ac:dyDescent="0.25">
      <c r="B21" s="47"/>
      <c r="C21" s="48"/>
      <c r="D21" s="49"/>
      <c r="E21" s="47"/>
      <c r="F21" s="48"/>
      <c r="G21" s="50"/>
      <c r="H21" s="51" t="str">
        <f t="shared" si="0"/>
        <v/>
      </c>
    </row>
    <row r="22" spans="2:10" ht="15.75" x14ac:dyDescent="0.25">
      <c r="B22" s="47"/>
      <c r="C22" s="48"/>
      <c r="D22" s="49"/>
      <c r="E22" s="47"/>
      <c r="F22" s="48"/>
      <c r="G22" s="50"/>
      <c r="H22" s="51" t="str">
        <f t="shared" si="0"/>
        <v/>
      </c>
    </row>
    <row r="23" spans="2:10" ht="20.25" customHeight="1" x14ac:dyDescent="0.25">
      <c r="B23" s="35" t="s">
        <v>44</v>
      </c>
    </row>
  </sheetData>
  <mergeCells count="4">
    <mergeCell ref="B3:C3"/>
    <mergeCell ref="E3:F3"/>
    <mergeCell ref="J11:K11"/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23"/>
  <sheetViews>
    <sheetView showGridLines="0" zoomScale="80" zoomScaleNormal="80" workbookViewId="0"/>
  </sheetViews>
  <sheetFormatPr defaultRowHeight="15" x14ac:dyDescent="0.25"/>
  <cols>
    <col min="2" max="2" width="28.42578125" bestFit="1" customWidth="1"/>
    <col min="3" max="3" width="20.5703125" customWidth="1"/>
    <col min="4" max="4" width="0.85546875" customWidth="1"/>
    <col min="5" max="5" width="27" bestFit="1" customWidth="1"/>
    <col min="6" max="6" width="19.42578125" customWidth="1"/>
    <col min="7" max="7" width="1.140625" customWidth="1"/>
    <col min="8" max="8" width="25.140625" bestFit="1" customWidth="1"/>
    <col min="10" max="10" width="38.7109375" customWidth="1"/>
    <col min="11" max="11" width="25" customWidth="1"/>
  </cols>
  <sheetData>
    <row r="2" spans="2:11" ht="18.75" x14ac:dyDescent="0.25">
      <c r="B2" s="396" t="s">
        <v>236</v>
      </c>
      <c r="C2" s="396"/>
      <c r="D2" s="396"/>
      <c r="E2" s="396"/>
      <c r="F2" s="396"/>
      <c r="G2" s="396"/>
      <c r="H2" s="396"/>
    </row>
    <row r="3" spans="2:11" ht="18.75" x14ac:dyDescent="0.25">
      <c r="B3" s="393" t="s">
        <v>52</v>
      </c>
      <c r="C3" s="393"/>
      <c r="D3" s="44"/>
      <c r="E3" s="393" t="s">
        <v>53</v>
      </c>
      <c r="F3" s="393"/>
      <c r="G3" s="44"/>
      <c r="H3" s="45" t="s">
        <v>54</v>
      </c>
    </row>
    <row r="4" spans="2:11" ht="15.75" x14ac:dyDescent="0.25">
      <c r="B4" s="45" t="s">
        <v>55</v>
      </c>
      <c r="C4" s="45" t="s">
        <v>56</v>
      </c>
      <c r="D4" s="46"/>
      <c r="E4" s="45" t="s">
        <v>57</v>
      </c>
      <c r="F4" s="45" t="s">
        <v>58</v>
      </c>
      <c r="G4" s="46"/>
      <c r="H4" s="45" t="s">
        <v>59</v>
      </c>
    </row>
    <row r="5" spans="2:11" ht="15.75" x14ac:dyDescent="0.25">
      <c r="B5" s="47">
        <v>42005</v>
      </c>
      <c r="C5" s="315">
        <v>576763</v>
      </c>
      <c r="D5" s="49"/>
      <c r="E5" s="47">
        <v>42370</v>
      </c>
      <c r="F5" s="315">
        <v>387567</v>
      </c>
      <c r="G5" s="50"/>
      <c r="H5" s="51">
        <f>IF(C5-F5&lt;=0,"",C5-F5)</f>
        <v>189196</v>
      </c>
    </row>
    <row r="6" spans="2:11" ht="15.75" x14ac:dyDescent="0.25">
      <c r="B6" s="47">
        <v>42036</v>
      </c>
      <c r="C6" s="315">
        <v>631249</v>
      </c>
      <c r="D6" s="49"/>
      <c r="E6" s="47">
        <f>+E5+31</f>
        <v>42401</v>
      </c>
      <c r="F6" s="315">
        <v>412515</v>
      </c>
      <c r="G6" s="50"/>
      <c r="H6" s="51">
        <f t="shared" ref="H6:H22" si="0">IF(C6-F6&lt;=0,"",C6-F6)</f>
        <v>218734</v>
      </c>
    </row>
    <row r="7" spans="2:11" ht="15.75" x14ac:dyDescent="0.25">
      <c r="B7" s="47">
        <v>42064</v>
      </c>
      <c r="C7" s="315">
        <v>377079</v>
      </c>
      <c r="D7" s="49"/>
      <c r="E7" s="47">
        <f t="shared" ref="E7:E16" si="1">+E6+31</f>
        <v>42432</v>
      </c>
      <c r="F7" s="315">
        <v>256187</v>
      </c>
      <c r="G7" s="50"/>
      <c r="H7" s="51">
        <f t="shared" si="0"/>
        <v>120892</v>
      </c>
    </row>
    <row r="8" spans="2:11" ht="15.75" x14ac:dyDescent="0.25">
      <c r="B8" s="47">
        <v>42095</v>
      </c>
      <c r="C8" s="315">
        <v>459155</v>
      </c>
      <c r="D8" s="49"/>
      <c r="E8" s="47">
        <f t="shared" si="1"/>
        <v>42463</v>
      </c>
      <c r="F8" s="315">
        <v>317817</v>
      </c>
      <c r="G8" s="50"/>
      <c r="H8" s="51">
        <f t="shared" si="0"/>
        <v>141338</v>
      </c>
    </row>
    <row r="9" spans="2:11" ht="15.75" x14ac:dyDescent="0.25">
      <c r="B9" s="47">
        <v>42125</v>
      </c>
      <c r="C9" s="315">
        <v>426963</v>
      </c>
      <c r="D9" s="49"/>
      <c r="E9" s="47">
        <f t="shared" si="1"/>
        <v>42494</v>
      </c>
      <c r="F9" s="315">
        <v>296208</v>
      </c>
      <c r="G9" s="50"/>
      <c r="H9" s="51">
        <f t="shared" si="0"/>
        <v>130755</v>
      </c>
    </row>
    <row r="10" spans="2:11" ht="15.75" x14ac:dyDescent="0.25">
      <c r="B10" s="47">
        <v>42156</v>
      </c>
      <c r="C10" s="315">
        <v>507324</v>
      </c>
      <c r="D10" s="49"/>
      <c r="E10" s="47">
        <f t="shared" si="1"/>
        <v>42525</v>
      </c>
      <c r="F10" s="315">
        <v>351951</v>
      </c>
      <c r="G10" s="50"/>
      <c r="H10" s="51">
        <f t="shared" si="0"/>
        <v>155373</v>
      </c>
    </row>
    <row r="11" spans="2:11" ht="17.25" x14ac:dyDescent="0.25">
      <c r="B11" s="47">
        <v>42186</v>
      </c>
      <c r="C11" s="315">
        <v>547142</v>
      </c>
      <c r="D11" s="49"/>
      <c r="E11" s="47">
        <f t="shared" si="1"/>
        <v>42556</v>
      </c>
      <c r="F11" s="315">
        <v>389080</v>
      </c>
      <c r="G11" s="50"/>
      <c r="H11" s="51">
        <f t="shared" si="0"/>
        <v>158062</v>
      </c>
      <c r="J11" s="394" t="s">
        <v>66</v>
      </c>
      <c r="K11" s="395"/>
    </row>
    <row r="12" spans="2:11" ht="15.75" x14ac:dyDescent="0.25">
      <c r="B12" s="47">
        <v>42217</v>
      </c>
      <c r="C12" s="315">
        <v>462530</v>
      </c>
      <c r="D12" s="49"/>
      <c r="E12" s="47">
        <f t="shared" si="1"/>
        <v>42587</v>
      </c>
      <c r="F12" s="315">
        <v>318079</v>
      </c>
      <c r="G12" s="50"/>
      <c r="H12" s="51">
        <f t="shared" si="0"/>
        <v>144451</v>
      </c>
      <c r="J12" s="52" t="s">
        <v>61</v>
      </c>
      <c r="K12" s="53">
        <f>SUM(H5:H22)</f>
        <v>2043586</v>
      </c>
    </row>
    <row r="13" spans="2:11" ht="15.75" x14ac:dyDescent="0.25">
      <c r="B13" s="47">
        <v>42248</v>
      </c>
      <c r="C13" s="315">
        <v>600836</v>
      </c>
      <c r="D13" s="49"/>
      <c r="E13" s="47">
        <f t="shared" si="1"/>
        <v>42618</v>
      </c>
      <c r="F13" s="315">
        <v>416678</v>
      </c>
      <c r="G13" s="50"/>
      <c r="H13" s="51">
        <f t="shared" si="0"/>
        <v>184158</v>
      </c>
      <c r="J13" s="54" t="s">
        <v>62</v>
      </c>
      <c r="K13" s="55">
        <v>0.2</v>
      </c>
    </row>
    <row r="14" spans="2:11" ht="15.75" x14ac:dyDescent="0.25">
      <c r="B14" s="47">
        <v>42278</v>
      </c>
      <c r="C14" s="315">
        <v>616790</v>
      </c>
      <c r="D14" s="49"/>
      <c r="E14" s="47">
        <f t="shared" si="1"/>
        <v>42649</v>
      </c>
      <c r="F14" s="315">
        <v>421013</v>
      </c>
      <c r="G14" s="50"/>
      <c r="H14" s="51">
        <f t="shared" si="0"/>
        <v>195777</v>
      </c>
      <c r="J14" s="54" t="s">
        <v>63</v>
      </c>
      <c r="K14" s="56">
        <f>K12*K13</f>
        <v>408717.2</v>
      </c>
    </row>
    <row r="15" spans="2:11" ht="15.75" x14ac:dyDescent="0.25">
      <c r="B15" s="47">
        <v>42309</v>
      </c>
      <c r="C15" s="315">
        <v>695986</v>
      </c>
      <c r="D15" s="49"/>
      <c r="E15" s="47">
        <f t="shared" si="1"/>
        <v>42680</v>
      </c>
      <c r="F15" s="315">
        <v>466117</v>
      </c>
      <c r="G15" s="50"/>
      <c r="H15" s="51">
        <f t="shared" si="0"/>
        <v>229869</v>
      </c>
      <c r="J15" s="57" t="s">
        <v>67</v>
      </c>
      <c r="K15" s="58">
        <f>+Revisão_homologada!C19</f>
        <v>7.26</v>
      </c>
    </row>
    <row r="16" spans="2:11" ht="15.75" x14ac:dyDescent="0.25">
      <c r="B16" s="47">
        <v>42339</v>
      </c>
      <c r="C16" s="315">
        <v>533487</v>
      </c>
      <c r="D16" s="49"/>
      <c r="E16" s="47">
        <f t="shared" si="1"/>
        <v>42711</v>
      </c>
      <c r="F16" s="315">
        <v>358506</v>
      </c>
      <c r="G16" s="50"/>
      <c r="H16" s="51">
        <f t="shared" si="0"/>
        <v>174981</v>
      </c>
      <c r="J16" s="57" t="s">
        <v>65</v>
      </c>
      <c r="K16" s="59">
        <f>K14*K15</f>
        <v>2967286.872</v>
      </c>
    </row>
    <row r="17" spans="2:10" ht="15.75" x14ac:dyDescent="0.25">
      <c r="B17" s="47"/>
      <c r="C17" s="48"/>
      <c r="D17" s="49"/>
      <c r="E17" s="47"/>
      <c r="F17" s="48"/>
      <c r="G17" s="50"/>
      <c r="H17" s="51" t="str">
        <f t="shared" si="0"/>
        <v/>
      </c>
    </row>
    <row r="18" spans="2:10" ht="15.75" x14ac:dyDescent="0.25">
      <c r="B18" s="47"/>
      <c r="C18" s="48"/>
      <c r="D18" s="49"/>
      <c r="E18" s="47"/>
      <c r="F18" s="48"/>
      <c r="G18" s="50"/>
      <c r="H18" s="51" t="str">
        <f t="shared" si="0"/>
        <v/>
      </c>
      <c r="J18" s="60" t="s">
        <v>243</v>
      </c>
    </row>
    <row r="19" spans="2:10" ht="15.75" x14ac:dyDescent="0.25">
      <c r="B19" s="47"/>
      <c r="C19" s="48"/>
      <c r="D19" s="49"/>
      <c r="E19" s="47"/>
      <c r="F19" s="48"/>
      <c r="G19" s="50"/>
      <c r="H19" s="51" t="str">
        <f t="shared" si="0"/>
        <v/>
      </c>
    </row>
    <row r="20" spans="2:10" ht="15.75" x14ac:dyDescent="0.25">
      <c r="B20" s="47"/>
      <c r="C20" s="48"/>
      <c r="D20" s="49"/>
      <c r="E20" s="47"/>
      <c r="F20" s="48"/>
      <c r="G20" s="50"/>
      <c r="H20" s="51" t="str">
        <f t="shared" si="0"/>
        <v/>
      </c>
    </row>
    <row r="21" spans="2:10" ht="15.75" x14ac:dyDescent="0.25">
      <c r="B21" s="47"/>
      <c r="C21" s="48"/>
      <c r="D21" s="49"/>
      <c r="E21" s="47"/>
      <c r="F21" s="48"/>
      <c r="G21" s="50"/>
      <c r="H21" s="51" t="str">
        <f t="shared" si="0"/>
        <v/>
      </c>
    </row>
    <row r="22" spans="2:10" ht="15.75" x14ac:dyDescent="0.25">
      <c r="B22" s="47"/>
      <c r="C22" s="48"/>
      <c r="D22" s="49"/>
      <c r="E22" s="47"/>
      <c r="F22" s="48"/>
      <c r="G22" s="49"/>
      <c r="H22" s="51" t="str">
        <f t="shared" si="0"/>
        <v/>
      </c>
    </row>
    <row r="23" spans="2:10" ht="20.25" customHeight="1" x14ac:dyDescent="0.25">
      <c r="B23" s="35" t="s">
        <v>44</v>
      </c>
    </row>
  </sheetData>
  <mergeCells count="4">
    <mergeCell ref="B3:C3"/>
    <mergeCell ref="E3:F3"/>
    <mergeCell ref="J11:K11"/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23"/>
  <sheetViews>
    <sheetView showGridLines="0" zoomScale="80" zoomScaleNormal="80" workbookViewId="0"/>
  </sheetViews>
  <sheetFormatPr defaultRowHeight="15" x14ac:dyDescent="0.25"/>
  <cols>
    <col min="2" max="2" width="28.42578125" bestFit="1" customWidth="1"/>
    <col min="3" max="3" width="20.5703125" customWidth="1"/>
    <col min="4" max="4" width="0.85546875" customWidth="1"/>
    <col min="5" max="5" width="27" bestFit="1" customWidth="1"/>
    <col min="6" max="6" width="19.42578125" customWidth="1"/>
    <col min="7" max="7" width="1.140625" customWidth="1"/>
    <col min="8" max="8" width="25.140625" bestFit="1" customWidth="1"/>
    <col min="10" max="10" width="38.7109375" customWidth="1"/>
    <col min="11" max="11" width="25" customWidth="1"/>
    <col min="14" max="14" width="11.28515625" customWidth="1"/>
  </cols>
  <sheetData>
    <row r="2" spans="2:11" ht="18.75" x14ac:dyDescent="0.25">
      <c r="B2" s="396" t="s">
        <v>237</v>
      </c>
      <c r="C2" s="396"/>
      <c r="D2" s="396"/>
      <c r="E2" s="396"/>
      <c r="F2" s="396"/>
      <c r="G2" s="396"/>
      <c r="H2" s="396"/>
    </row>
    <row r="3" spans="2:11" ht="18.75" x14ac:dyDescent="0.25">
      <c r="B3" s="393" t="s">
        <v>52</v>
      </c>
      <c r="C3" s="393"/>
      <c r="D3" s="44"/>
      <c r="E3" s="393" t="s">
        <v>53</v>
      </c>
      <c r="F3" s="393"/>
      <c r="G3" s="44"/>
      <c r="H3" s="45" t="s">
        <v>54</v>
      </c>
    </row>
    <row r="4" spans="2:11" ht="15.75" x14ac:dyDescent="0.25">
      <c r="B4" s="45" t="s">
        <v>55</v>
      </c>
      <c r="C4" s="45" t="s">
        <v>56</v>
      </c>
      <c r="D4" s="46"/>
      <c r="E4" s="45" t="s">
        <v>57</v>
      </c>
      <c r="F4" s="45" t="s">
        <v>58</v>
      </c>
      <c r="G4" s="46"/>
      <c r="H4" s="45" t="s">
        <v>59</v>
      </c>
    </row>
    <row r="5" spans="2:11" ht="15.75" x14ac:dyDescent="0.25">
      <c r="B5" s="47">
        <v>42005</v>
      </c>
      <c r="C5" s="315">
        <v>20184</v>
      </c>
      <c r="D5" s="49"/>
      <c r="E5" s="47">
        <v>42370</v>
      </c>
      <c r="F5" s="315">
        <v>13207</v>
      </c>
      <c r="G5" s="50"/>
      <c r="H5" s="51">
        <f>IF(C5-F5&lt;=0,"",C5-F5)</f>
        <v>6977</v>
      </c>
    </row>
    <row r="6" spans="2:11" ht="15.75" x14ac:dyDescent="0.25">
      <c r="B6" s="47">
        <v>42036</v>
      </c>
      <c r="C6" s="315">
        <v>52590</v>
      </c>
      <c r="D6" s="49"/>
      <c r="E6" s="47">
        <f>+E5+31</f>
        <v>42401</v>
      </c>
      <c r="F6" s="315">
        <v>39351</v>
      </c>
      <c r="G6" s="50"/>
      <c r="H6" s="51">
        <f t="shared" ref="H6:H22" si="0">IF(C6-F6&lt;=0,"",C6-F6)</f>
        <v>13239</v>
      </c>
    </row>
    <row r="7" spans="2:11" ht="15.75" x14ac:dyDescent="0.25">
      <c r="B7" s="47">
        <v>42064</v>
      </c>
      <c r="C7" s="315">
        <v>27639</v>
      </c>
      <c r="D7" s="49"/>
      <c r="E7" s="47">
        <f t="shared" ref="E7:E16" si="1">+E6+31</f>
        <v>42432</v>
      </c>
      <c r="F7" s="315">
        <v>13638</v>
      </c>
      <c r="G7" s="50"/>
      <c r="H7" s="51">
        <f t="shared" si="0"/>
        <v>14001</v>
      </c>
    </row>
    <row r="8" spans="2:11" ht="15.75" x14ac:dyDescent="0.25">
      <c r="B8" s="47">
        <v>42095</v>
      </c>
      <c r="C8" s="315">
        <v>15621</v>
      </c>
      <c r="D8" s="49"/>
      <c r="E8" s="47">
        <f t="shared" si="1"/>
        <v>42463</v>
      </c>
      <c r="F8" s="315">
        <v>11062</v>
      </c>
      <c r="G8" s="50"/>
      <c r="H8" s="51">
        <f t="shared" si="0"/>
        <v>4559</v>
      </c>
    </row>
    <row r="9" spans="2:11" ht="15.75" x14ac:dyDescent="0.25">
      <c r="B9" s="47">
        <v>42125</v>
      </c>
      <c r="C9" s="315">
        <v>15904</v>
      </c>
      <c r="D9" s="49"/>
      <c r="E9" s="47">
        <f t="shared" si="1"/>
        <v>42494</v>
      </c>
      <c r="F9" s="315">
        <v>10475</v>
      </c>
      <c r="G9" s="50"/>
      <c r="H9" s="51">
        <f t="shared" si="0"/>
        <v>5429</v>
      </c>
    </row>
    <row r="10" spans="2:11" ht="15.75" x14ac:dyDescent="0.25">
      <c r="B10" s="47">
        <v>42156</v>
      </c>
      <c r="C10" s="315">
        <v>27004</v>
      </c>
      <c r="D10" s="49"/>
      <c r="E10" s="47">
        <f t="shared" si="1"/>
        <v>42525</v>
      </c>
      <c r="F10" s="315">
        <v>10038</v>
      </c>
      <c r="G10" s="50"/>
      <c r="H10" s="51">
        <f t="shared" si="0"/>
        <v>16966</v>
      </c>
    </row>
    <row r="11" spans="2:11" ht="17.25" x14ac:dyDescent="0.25">
      <c r="B11" s="47">
        <v>42186</v>
      </c>
      <c r="C11" s="315">
        <v>29360</v>
      </c>
      <c r="D11" s="49"/>
      <c r="E11" s="47">
        <f t="shared" si="1"/>
        <v>42556</v>
      </c>
      <c r="F11" s="315">
        <v>12040</v>
      </c>
      <c r="G11" s="50"/>
      <c r="H11" s="51">
        <f t="shared" si="0"/>
        <v>17320</v>
      </c>
      <c r="J11" s="394" t="s">
        <v>68</v>
      </c>
      <c r="K11" s="395"/>
    </row>
    <row r="12" spans="2:11" ht="15.75" x14ac:dyDescent="0.25">
      <c r="B12" s="47">
        <v>42217</v>
      </c>
      <c r="C12" s="315">
        <v>22612</v>
      </c>
      <c r="D12" s="49"/>
      <c r="E12" s="47">
        <f t="shared" si="1"/>
        <v>42587</v>
      </c>
      <c r="F12" s="315">
        <v>13178</v>
      </c>
      <c r="G12" s="50"/>
      <c r="H12" s="51">
        <f t="shared" si="0"/>
        <v>9434</v>
      </c>
      <c r="J12" s="52" t="s">
        <v>61</v>
      </c>
      <c r="K12" s="61">
        <f>SUM(H5:H22)</f>
        <v>144774</v>
      </c>
    </row>
    <row r="13" spans="2:11" ht="15.75" x14ac:dyDescent="0.25">
      <c r="B13" s="47">
        <v>42248</v>
      </c>
      <c r="C13" s="315">
        <v>26844</v>
      </c>
      <c r="D13" s="49"/>
      <c r="E13" s="47">
        <f t="shared" si="1"/>
        <v>42618</v>
      </c>
      <c r="F13" s="315">
        <v>16905</v>
      </c>
      <c r="G13" s="50"/>
      <c r="H13" s="51">
        <f t="shared" si="0"/>
        <v>9939</v>
      </c>
      <c r="J13" s="54" t="s">
        <v>62</v>
      </c>
      <c r="K13" s="62">
        <v>0.2</v>
      </c>
    </row>
    <row r="14" spans="2:11" ht="15.75" x14ac:dyDescent="0.25">
      <c r="B14" s="47">
        <v>42278</v>
      </c>
      <c r="C14" s="315">
        <v>51518</v>
      </c>
      <c r="D14" s="49"/>
      <c r="E14" s="47">
        <f t="shared" si="1"/>
        <v>42649</v>
      </c>
      <c r="F14" s="315">
        <v>40824</v>
      </c>
      <c r="G14" s="50"/>
      <c r="H14" s="51">
        <f t="shared" si="0"/>
        <v>10694</v>
      </c>
      <c r="J14" s="54" t="s">
        <v>63</v>
      </c>
      <c r="K14" s="63">
        <f>K12*K13</f>
        <v>28954.800000000003</v>
      </c>
    </row>
    <row r="15" spans="2:11" ht="15.75" x14ac:dyDescent="0.25">
      <c r="B15" s="47">
        <v>42309</v>
      </c>
      <c r="C15" s="315">
        <v>57082</v>
      </c>
      <c r="D15" s="49"/>
      <c r="E15" s="47">
        <f t="shared" si="1"/>
        <v>42680</v>
      </c>
      <c r="F15" s="315">
        <v>38970</v>
      </c>
      <c r="G15" s="50"/>
      <c r="H15" s="51">
        <f t="shared" si="0"/>
        <v>18112</v>
      </c>
      <c r="J15" s="57" t="s">
        <v>69</v>
      </c>
      <c r="K15" s="58">
        <f>+Bonus_Comercial!K15</f>
        <v>7.26</v>
      </c>
    </row>
    <row r="16" spans="2:11" ht="15.75" x14ac:dyDescent="0.25">
      <c r="B16" s="47">
        <v>42339</v>
      </c>
      <c r="C16" s="315">
        <v>44764</v>
      </c>
      <c r="D16" s="49"/>
      <c r="E16" s="47">
        <f t="shared" si="1"/>
        <v>42711</v>
      </c>
      <c r="F16" s="315">
        <v>26660</v>
      </c>
      <c r="G16" s="50"/>
      <c r="H16" s="51">
        <f t="shared" si="0"/>
        <v>18104</v>
      </c>
      <c r="J16" s="57" t="s">
        <v>65</v>
      </c>
      <c r="K16" s="64">
        <f>K14*K15</f>
        <v>210211.84800000003</v>
      </c>
    </row>
    <row r="17" spans="2:10" ht="15.75" x14ac:dyDescent="0.25">
      <c r="B17" s="47"/>
      <c r="C17" s="48"/>
      <c r="D17" s="49"/>
      <c r="E17" s="47"/>
      <c r="F17" s="48"/>
      <c r="G17" s="50"/>
      <c r="H17" s="51" t="str">
        <f t="shared" si="0"/>
        <v/>
      </c>
    </row>
    <row r="18" spans="2:10" ht="15.75" x14ac:dyDescent="0.25">
      <c r="B18" s="47"/>
      <c r="C18" s="48"/>
      <c r="D18" s="49"/>
      <c r="E18" s="47"/>
      <c r="F18" s="48"/>
      <c r="G18" s="50"/>
      <c r="H18" s="51" t="str">
        <f t="shared" si="0"/>
        <v/>
      </c>
      <c r="J18" s="60" t="s">
        <v>243</v>
      </c>
    </row>
    <row r="19" spans="2:10" ht="15.75" x14ac:dyDescent="0.25">
      <c r="B19" s="47"/>
      <c r="C19" s="48"/>
      <c r="D19" s="49"/>
      <c r="E19" s="47"/>
      <c r="F19" s="48"/>
      <c r="G19" s="50"/>
      <c r="H19" s="51" t="str">
        <f t="shared" si="0"/>
        <v/>
      </c>
    </row>
    <row r="20" spans="2:10" ht="15.75" x14ac:dyDescent="0.25">
      <c r="B20" s="47"/>
      <c r="C20" s="48"/>
      <c r="D20" s="49"/>
      <c r="E20" s="47"/>
      <c r="F20" s="48"/>
      <c r="G20" s="50"/>
      <c r="H20" s="51" t="str">
        <f t="shared" si="0"/>
        <v/>
      </c>
    </row>
    <row r="21" spans="2:10" ht="15.75" x14ac:dyDescent="0.25">
      <c r="B21" s="47"/>
      <c r="C21" s="48"/>
      <c r="D21" s="49"/>
      <c r="E21" s="47"/>
      <c r="F21" s="48"/>
      <c r="G21" s="50"/>
      <c r="H21" s="51" t="str">
        <f t="shared" si="0"/>
        <v/>
      </c>
    </row>
    <row r="22" spans="2:10" ht="15.75" x14ac:dyDescent="0.25">
      <c r="B22" s="47"/>
      <c r="C22" s="48"/>
      <c r="D22" s="49"/>
      <c r="E22" s="47"/>
      <c r="F22" s="48"/>
      <c r="G22" s="49"/>
      <c r="H22" s="51" t="str">
        <f t="shared" si="0"/>
        <v/>
      </c>
    </row>
    <row r="23" spans="2:10" ht="20.25" customHeight="1" x14ac:dyDescent="0.25">
      <c r="B23" s="35" t="s">
        <v>44</v>
      </c>
    </row>
  </sheetData>
  <mergeCells count="4">
    <mergeCell ref="B3:C3"/>
    <mergeCell ref="E3:F3"/>
    <mergeCell ref="J11:K11"/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20"/>
  <sheetViews>
    <sheetView showGridLines="0" zoomScale="80" zoomScaleNormal="80" workbookViewId="0"/>
  </sheetViews>
  <sheetFormatPr defaultRowHeight="15" x14ac:dyDescent="0.25"/>
  <cols>
    <col min="2" max="2" width="22" customWidth="1"/>
    <col min="3" max="3" width="19.7109375" bestFit="1" customWidth="1"/>
    <col min="4" max="4" width="12.5703125" customWidth="1"/>
    <col min="5" max="5" width="16.42578125" bestFit="1" customWidth="1"/>
    <col min="6" max="6" width="13.140625" bestFit="1" customWidth="1"/>
    <col min="7" max="7" width="18.5703125" bestFit="1" customWidth="1"/>
  </cols>
  <sheetData>
    <row r="8" spans="2:7" ht="35.25" customHeight="1" x14ac:dyDescent="0.25">
      <c r="B8" s="396" t="s">
        <v>238</v>
      </c>
      <c r="C8" s="396"/>
      <c r="D8" s="396"/>
      <c r="E8" s="396"/>
      <c r="F8" s="396"/>
      <c r="G8" s="396"/>
    </row>
    <row r="9" spans="2:7" ht="34.5" customHeight="1" x14ac:dyDescent="0.25">
      <c r="B9" s="65"/>
      <c r="C9" s="72" t="s">
        <v>24</v>
      </c>
      <c r="D9" s="72" t="s">
        <v>31</v>
      </c>
      <c r="E9" s="72" t="s">
        <v>39</v>
      </c>
      <c r="F9" s="72" t="s">
        <v>41</v>
      </c>
      <c r="G9" s="45" t="s">
        <v>23</v>
      </c>
    </row>
    <row r="10" spans="2:7" ht="23.25" customHeight="1" x14ac:dyDescent="0.25">
      <c r="B10" s="66" t="s">
        <v>70</v>
      </c>
      <c r="C10" s="67">
        <f>+Bonus_Residencial_Normal!K12</f>
        <v>14666692</v>
      </c>
      <c r="D10" s="67">
        <f>+Bonus_Residencial_Popular!K12</f>
        <v>6161</v>
      </c>
      <c r="E10" s="67">
        <f>+Bonus_Comercial!K12</f>
        <v>2043586</v>
      </c>
      <c r="F10" s="67">
        <f>+Bonus_Industrial!K12</f>
        <v>144774</v>
      </c>
      <c r="G10" s="397">
        <f>SUM(C14:F14,C15)</f>
        <v>11569483.452</v>
      </c>
    </row>
    <row r="11" spans="2:7" ht="21.75" customHeight="1" x14ac:dyDescent="0.25">
      <c r="B11" s="66" t="s">
        <v>71</v>
      </c>
      <c r="C11" s="226">
        <f>+Bonus_Residencial_Normal!K13</f>
        <v>0.2</v>
      </c>
      <c r="D11" s="226">
        <f>+Bonus_Residencial_Popular!K13</f>
        <v>0.2</v>
      </c>
      <c r="E11" s="226">
        <f>+Bonus_Comercial!K13</f>
        <v>0.2</v>
      </c>
      <c r="F11" s="226">
        <f>+Bonus_Industrial!K13</f>
        <v>0.2</v>
      </c>
      <c r="G11" s="398"/>
    </row>
    <row r="12" spans="2:7" ht="21.75" customHeight="1" x14ac:dyDescent="0.25">
      <c r="B12" s="66" t="s">
        <v>63</v>
      </c>
      <c r="C12" s="67">
        <f>+Bonus_Residencial_Normal!K14</f>
        <v>2933338.4000000004</v>
      </c>
      <c r="D12" s="67">
        <f>+Bonus_Residencial_Popular!K14</f>
        <v>1232.2</v>
      </c>
      <c r="E12" s="67">
        <f>+Bonus_Comercial!K14</f>
        <v>408717.2</v>
      </c>
      <c r="F12" s="67">
        <f>+Bonus_Industrial!K14</f>
        <v>28954.800000000003</v>
      </c>
      <c r="G12" s="398"/>
    </row>
    <row r="13" spans="2:7" ht="24.75" customHeight="1" x14ac:dyDescent="0.25">
      <c r="B13" s="66" t="s">
        <v>72</v>
      </c>
      <c r="C13" s="71">
        <f>+Bonus_Residencial_Normal!K15</f>
        <v>2.86</v>
      </c>
      <c r="D13" s="71">
        <f>+Bonus_Residencial_Popular!K15</f>
        <v>2.14</v>
      </c>
      <c r="E13" s="71">
        <f>+Bonus_Comercial!K15</f>
        <v>7.26</v>
      </c>
      <c r="F13" s="71">
        <f>+Bonus_Industrial!K15</f>
        <v>7.26</v>
      </c>
      <c r="G13" s="398"/>
    </row>
    <row r="14" spans="2:7" ht="23.25" customHeight="1" x14ac:dyDescent="0.25">
      <c r="B14" s="66" t="s">
        <v>73</v>
      </c>
      <c r="C14" s="68">
        <f>+Bonus_Residencial_Normal!K16</f>
        <v>8389347.824000001</v>
      </c>
      <c r="D14" s="68">
        <f>+Bonus_Residencial_Popular!K16</f>
        <v>2636.9080000000004</v>
      </c>
      <c r="E14" s="68">
        <f>+Bonus_Comercial!K16</f>
        <v>2967286.872</v>
      </c>
      <c r="F14" s="68">
        <f>+Bonus_Industrial!K16</f>
        <v>210211.84800000003</v>
      </c>
      <c r="G14" s="399"/>
    </row>
    <row r="15" spans="2:7" ht="23.25" customHeight="1" x14ac:dyDescent="0.25">
      <c r="B15" s="66" t="s">
        <v>74</v>
      </c>
      <c r="C15" s="69"/>
      <c r="D15" s="73" t="s">
        <v>75</v>
      </c>
      <c r="E15" s="70"/>
      <c r="F15" s="70"/>
      <c r="G15" s="74"/>
    </row>
    <row r="20" spans="3:6" x14ac:dyDescent="0.25">
      <c r="C20" s="75"/>
      <c r="D20" s="75"/>
      <c r="E20" s="75"/>
      <c r="F20" s="75"/>
    </row>
  </sheetData>
  <mergeCells count="2">
    <mergeCell ref="B8:G8"/>
    <mergeCell ref="G10:G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I37"/>
  <sheetViews>
    <sheetView showGridLines="0" zoomScale="80" zoomScaleNormal="80" workbookViewId="0"/>
  </sheetViews>
  <sheetFormatPr defaultRowHeight="15" x14ac:dyDescent="0.25"/>
  <cols>
    <col min="1" max="1" width="11" style="10" customWidth="1"/>
    <col min="2" max="2" width="30.7109375" style="10" customWidth="1"/>
    <col min="3" max="3" width="25.7109375" style="10" customWidth="1"/>
    <col min="4" max="4" width="32" style="10" customWidth="1"/>
    <col min="5" max="5" width="12.42578125" style="10" customWidth="1"/>
    <col min="6" max="6" width="38.42578125" style="10" customWidth="1"/>
    <col min="7" max="7" width="24.140625" style="10" bestFit="1" customWidth="1"/>
    <col min="8" max="9" width="17.7109375" style="10" customWidth="1"/>
    <col min="10" max="11" width="12.42578125" bestFit="1" customWidth="1"/>
  </cols>
  <sheetData>
    <row r="3" spans="2:9" customFormat="1" ht="18" x14ac:dyDescent="0.25">
      <c r="B3" s="10"/>
      <c r="C3" s="348" t="s">
        <v>244</v>
      </c>
      <c r="D3" s="348"/>
      <c r="E3" s="348"/>
      <c r="F3" s="348"/>
      <c r="G3" s="348"/>
      <c r="H3" s="348"/>
      <c r="I3" s="348"/>
    </row>
    <row r="7" spans="2:9" customFormat="1" x14ac:dyDescent="0.25">
      <c r="B7" s="400" t="s">
        <v>245</v>
      </c>
      <c r="C7" s="401"/>
      <c r="D7" s="401"/>
      <c r="E7" s="10"/>
      <c r="F7" s="357" t="s">
        <v>76</v>
      </c>
      <c r="G7" s="358"/>
      <c r="H7" s="358"/>
      <c r="I7" s="402"/>
    </row>
    <row r="8" spans="2:9" customFormat="1" ht="15.75" customHeight="1" x14ac:dyDescent="0.25">
      <c r="B8" s="76" t="s">
        <v>15</v>
      </c>
      <c r="C8" s="77" t="s">
        <v>77</v>
      </c>
      <c r="D8" s="78" t="s">
        <v>78</v>
      </c>
      <c r="E8" s="10"/>
      <c r="F8" s="79" t="s">
        <v>79</v>
      </c>
      <c r="G8" s="80" t="s">
        <v>80</v>
      </c>
      <c r="H8" s="81" t="s">
        <v>81</v>
      </c>
      <c r="I8" s="82" t="s">
        <v>351</v>
      </c>
    </row>
    <row r="9" spans="2:9" customFormat="1" x14ac:dyDescent="0.25">
      <c r="B9" s="236">
        <v>42005</v>
      </c>
      <c r="C9" s="238">
        <v>3685012.5500000021</v>
      </c>
      <c r="D9" s="238">
        <v>13026186</v>
      </c>
      <c r="E9" s="10"/>
      <c r="F9" s="83" t="s">
        <v>82</v>
      </c>
      <c r="G9" s="84">
        <f>+C34</f>
        <v>113791918.00000003</v>
      </c>
      <c r="H9" s="84">
        <f>+D34</f>
        <v>299777035</v>
      </c>
      <c r="I9" s="85">
        <f>G9/H9</f>
        <v>0.37958850984032194</v>
      </c>
    </row>
    <row r="10" spans="2:9" customFormat="1" x14ac:dyDescent="0.25">
      <c r="B10" s="236">
        <f>EDATE(B9,1)</f>
        <v>42036</v>
      </c>
      <c r="C10" s="238">
        <v>6941901.8700000057</v>
      </c>
      <c r="D10" s="238">
        <v>25417110</v>
      </c>
      <c r="E10" s="10"/>
      <c r="F10" s="83" t="s">
        <v>83</v>
      </c>
      <c r="G10" s="84">
        <f>+C21</f>
        <v>101157636.61000004</v>
      </c>
      <c r="H10" s="84">
        <f>+D21</f>
        <v>280189896</v>
      </c>
      <c r="I10" s="85">
        <f>G10/H10</f>
        <v>0.36103242141893671</v>
      </c>
    </row>
    <row r="11" spans="2:9" customFormat="1" x14ac:dyDescent="0.25">
      <c r="B11" s="236">
        <f t="shared" ref="B11:B20" si="0">EDATE(B10,1)</f>
        <v>42064</v>
      </c>
      <c r="C11" s="238">
        <v>6649175.8199999919</v>
      </c>
      <c r="D11" s="238">
        <v>22271774</v>
      </c>
      <c r="E11" s="10"/>
      <c r="F11" s="403" t="s">
        <v>84</v>
      </c>
      <c r="G11" s="404"/>
      <c r="H11" s="405"/>
      <c r="I11" s="86">
        <f>I9/I10-1</f>
        <v>5.1397290992470257E-2</v>
      </c>
    </row>
    <row r="12" spans="2:9" customFormat="1" x14ac:dyDescent="0.25">
      <c r="B12" s="236">
        <f t="shared" si="0"/>
        <v>42095</v>
      </c>
      <c r="C12" s="238">
        <v>9023965.3499999847</v>
      </c>
      <c r="D12" s="238">
        <v>24121593</v>
      </c>
      <c r="E12" s="10"/>
      <c r="F12" s="10"/>
      <c r="G12" s="10"/>
      <c r="H12" s="10"/>
      <c r="I12" s="10"/>
    </row>
    <row r="13" spans="2:9" customFormat="1" x14ac:dyDescent="0.25">
      <c r="B13" s="236">
        <f t="shared" si="0"/>
        <v>42125</v>
      </c>
      <c r="C13" s="238">
        <v>8307793.4399999995</v>
      </c>
      <c r="D13" s="238">
        <v>23892656</v>
      </c>
      <c r="E13" s="10"/>
      <c r="F13" s="10"/>
      <c r="G13" s="10"/>
      <c r="H13" s="10"/>
      <c r="I13" s="10"/>
    </row>
    <row r="14" spans="2:9" customFormat="1" x14ac:dyDescent="0.25">
      <c r="B14" s="236">
        <f t="shared" si="0"/>
        <v>42156</v>
      </c>
      <c r="C14" s="238">
        <v>8671409.7200000156</v>
      </c>
      <c r="D14" s="238">
        <v>24369258</v>
      </c>
      <c r="E14" s="10"/>
      <c r="F14" s="231"/>
      <c r="G14" s="231"/>
      <c r="H14" s="232"/>
      <c r="I14" s="232"/>
    </row>
    <row r="15" spans="2:9" customFormat="1" x14ac:dyDescent="0.25">
      <c r="B15" s="236">
        <f t="shared" si="0"/>
        <v>42186</v>
      </c>
      <c r="C15" s="238">
        <v>8557004.3100000769</v>
      </c>
      <c r="D15" s="238">
        <v>23341034</v>
      </c>
      <c r="E15" s="10"/>
      <c r="F15" s="231"/>
      <c r="G15" s="231"/>
      <c r="H15" s="232"/>
      <c r="I15" s="232"/>
    </row>
    <row r="16" spans="2:9" customFormat="1" x14ac:dyDescent="0.25">
      <c r="B16" s="236">
        <f t="shared" si="0"/>
        <v>42217</v>
      </c>
      <c r="C16" s="238">
        <v>8603851.1299999822</v>
      </c>
      <c r="D16" s="238">
        <v>23999961</v>
      </c>
      <c r="E16" s="10"/>
      <c r="F16" s="231"/>
      <c r="G16" s="231"/>
      <c r="H16" s="232"/>
      <c r="I16" s="232"/>
    </row>
    <row r="17" spans="2:9" customFormat="1" x14ac:dyDescent="0.25">
      <c r="B17" s="236">
        <f t="shared" si="0"/>
        <v>42248</v>
      </c>
      <c r="C17" s="238">
        <v>8911461.3300000001</v>
      </c>
      <c r="D17" s="238">
        <v>25150397</v>
      </c>
      <c r="F17" s="233"/>
      <c r="G17" s="233"/>
      <c r="H17" s="232"/>
      <c r="I17" s="232"/>
    </row>
    <row r="18" spans="2:9" customFormat="1" x14ac:dyDescent="0.25">
      <c r="B18" s="236">
        <f t="shared" si="0"/>
        <v>42278</v>
      </c>
      <c r="C18" s="238">
        <v>11186446.640000001</v>
      </c>
      <c r="D18" s="238">
        <v>24643829</v>
      </c>
      <c r="F18" s="232"/>
    </row>
    <row r="19" spans="2:9" customFormat="1" x14ac:dyDescent="0.25">
      <c r="B19" s="236">
        <f t="shared" si="0"/>
        <v>42309</v>
      </c>
      <c r="C19" s="238">
        <v>10545618.6</v>
      </c>
      <c r="D19" s="238">
        <v>25721640</v>
      </c>
      <c r="F19" s="232"/>
    </row>
    <row r="20" spans="2:9" customFormat="1" x14ac:dyDescent="0.25">
      <c r="B20" s="236">
        <f t="shared" si="0"/>
        <v>42339</v>
      </c>
      <c r="C20" s="238">
        <v>10073995.85</v>
      </c>
      <c r="D20" s="238">
        <v>24234458</v>
      </c>
      <c r="F20" s="232"/>
    </row>
    <row r="21" spans="2:9" customFormat="1" x14ac:dyDescent="0.25">
      <c r="B21" s="234" t="s">
        <v>85</v>
      </c>
      <c r="C21" s="87">
        <f>SUM(C9:C20)</f>
        <v>101157636.61000004</v>
      </c>
      <c r="D21" s="88">
        <f>SUM(D9:D20)</f>
        <v>280189896</v>
      </c>
      <c r="F21" s="232"/>
    </row>
    <row r="22" spans="2:9" customFormat="1" x14ac:dyDescent="0.25">
      <c r="B22" s="236">
        <f>EDATE(B20,1)</f>
        <v>42370</v>
      </c>
      <c r="C22" s="209">
        <v>10310315.810000001</v>
      </c>
      <c r="D22" s="209">
        <v>24326303</v>
      </c>
      <c r="F22" s="232"/>
      <c r="H22" s="235"/>
    </row>
    <row r="23" spans="2:9" customFormat="1" x14ac:dyDescent="0.25">
      <c r="B23" s="236">
        <f>EDATE(B22,1)</f>
        <v>42401</v>
      </c>
      <c r="C23" s="209">
        <v>10103978.18</v>
      </c>
      <c r="D23" s="209">
        <v>24150803</v>
      </c>
      <c r="F23" s="232"/>
      <c r="G23" s="235"/>
      <c r="H23" s="235"/>
    </row>
    <row r="24" spans="2:9" customFormat="1" x14ac:dyDescent="0.25">
      <c r="B24" s="236">
        <f t="shared" ref="B24:B33" si="1">EDATE(B23,1)</f>
        <v>42430</v>
      </c>
      <c r="C24" s="209">
        <v>9495447.3200000003</v>
      </c>
      <c r="D24" s="209">
        <v>23680128</v>
      </c>
      <c r="F24" s="232"/>
      <c r="G24" s="235"/>
      <c r="H24" s="235"/>
    </row>
    <row r="25" spans="2:9" customFormat="1" x14ac:dyDescent="0.25">
      <c r="B25" s="236">
        <f t="shared" si="1"/>
        <v>42461</v>
      </c>
      <c r="C25" s="209">
        <v>9231425.1799999997</v>
      </c>
      <c r="D25" s="209">
        <v>24378337</v>
      </c>
      <c r="F25" s="232"/>
      <c r="G25" s="235"/>
      <c r="H25" s="235"/>
    </row>
    <row r="26" spans="2:9" customFormat="1" x14ac:dyDescent="0.25">
      <c r="B26" s="236">
        <f t="shared" si="1"/>
        <v>42491</v>
      </c>
      <c r="C26" s="209">
        <v>9688677.3800000008</v>
      </c>
      <c r="D26" s="209">
        <v>25288340</v>
      </c>
      <c r="G26" s="235"/>
      <c r="H26" s="235"/>
    </row>
    <row r="27" spans="2:9" customFormat="1" x14ac:dyDescent="0.25">
      <c r="B27" s="236">
        <f t="shared" si="1"/>
        <v>42522</v>
      </c>
      <c r="C27" s="209">
        <v>9208312.3100000005</v>
      </c>
      <c r="D27" s="209">
        <v>25364040</v>
      </c>
      <c r="G27" s="235"/>
      <c r="H27" s="235"/>
    </row>
    <row r="28" spans="2:9" customFormat="1" x14ac:dyDescent="0.25">
      <c r="B28" s="236">
        <f t="shared" si="1"/>
        <v>42552</v>
      </c>
      <c r="C28" s="209">
        <v>9023445.7799999993</v>
      </c>
      <c r="D28" s="209">
        <v>24552563</v>
      </c>
      <c r="G28" s="235"/>
      <c r="H28" s="235"/>
    </row>
    <row r="29" spans="2:9" customFormat="1" x14ac:dyDescent="0.25">
      <c r="B29" s="236">
        <f t="shared" si="1"/>
        <v>42583</v>
      </c>
      <c r="C29" s="209">
        <v>9109051.6400000006</v>
      </c>
      <c r="D29" s="209">
        <v>27348899</v>
      </c>
      <c r="G29" s="235"/>
      <c r="H29" s="235"/>
    </row>
    <row r="30" spans="2:9" customFormat="1" x14ac:dyDescent="0.25">
      <c r="B30" s="236">
        <f t="shared" si="1"/>
        <v>42614</v>
      </c>
      <c r="C30" s="209">
        <v>9900182.0399999991</v>
      </c>
      <c r="D30" s="209">
        <v>26566651</v>
      </c>
      <c r="G30" s="235"/>
      <c r="H30" s="235"/>
    </row>
    <row r="31" spans="2:9" customFormat="1" x14ac:dyDescent="0.25">
      <c r="B31" s="236">
        <f t="shared" si="1"/>
        <v>42644</v>
      </c>
      <c r="C31" s="209">
        <v>9303678.6199999992</v>
      </c>
      <c r="D31" s="209">
        <v>25359081</v>
      </c>
      <c r="G31" s="235"/>
      <c r="H31" s="235"/>
    </row>
    <row r="32" spans="2:9" customFormat="1" x14ac:dyDescent="0.25">
      <c r="B32" s="236">
        <f t="shared" si="1"/>
        <v>42675</v>
      </c>
      <c r="C32" s="209">
        <v>9341340.6699999999</v>
      </c>
      <c r="D32" s="209">
        <v>25300013</v>
      </c>
      <c r="G32" s="235"/>
      <c r="H32" s="235"/>
    </row>
    <row r="33" spans="2:8" customFormat="1" x14ac:dyDescent="0.25">
      <c r="B33" s="236">
        <f t="shared" si="1"/>
        <v>42705</v>
      </c>
      <c r="C33" s="209">
        <v>9076063.0700000003</v>
      </c>
      <c r="D33" s="209">
        <v>23461877</v>
      </c>
      <c r="E33" s="43"/>
      <c r="G33" s="235"/>
      <c r="H33" s="235"/>
    </row>
    <row r="34" spans="2:8" customFormat="1" x14ac:dyDescent="0.25">
      <c r="B34" s="234" t="s">
        <v>85</v>
      </c>
      <c r="C34" s="87">
        <f>SUM(C22:C33)</f>
        <v>113791918.00000003</v>
      </c>
      <c r="D34" s="88">
        <f>SUM(D22:D33)</f>
        <v>299777035</v>
      </c>
      <c r="E34" s="10"/>
    </row>
    <row r="35" spans="2:8" customFormat="1" x14ac:dyDescent="0.25">
      <c r="B35" s="237" t="s">
        <v>271</v>
      </c>
      <c r="C35" s="10"/>
      <c r="D35" s="10"/>
      <c r="E35" s="10"/>
    </row>
    <row r="36" spans="2:8" customFormat="1" x14ac:dyDescent="0.25">
      <c r="B36" s="237" t="s">
        <v>272</v>
      </c>
      <c r="C36" s="10"/>
      <c r="D36" s="10"/>
      <c r="E36" s="10"/>
    </row>
    <row r="37" spans="2:8" customFormat="1" x14ac:dyDescent="0.25">
      <c r="B37" s="35" t="s">
        <v>44</v>
      </c>
      <c r="C37" s="10"/>
      <c r="D37" s="10"/>
      <c r="E37" s="10"/>
    </row>
  </sheetData>
  <mergeCells count="4">
    <mergeCell ref="C3:I3"/>
    <mergeCell ref="B7:D7"/>
    <mergeCell ref="F7:I7"/>
    <mergeCell ref="F11:H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9:F20"/>
  <sheetViews>
    <sheetView showGridLines="0" zoomScale="80" zoomScaleNormal="80" workbookViewId="0"/>
  </sheetViews>
  <sheetFormatPr defaultRowHeight="12.75" x14ac:dyDescent="0.25"/>
  <cols>
    <col min="1" max="1" width="9.140625" style="103"/>
    <col min="2" max="2" width="57.5703125" style="103" customWidth="1"/>
    <col min="3" max="3" width="21.140625" style="103" customWidth="1"/>
    <col min="4" max="4" width="20.7109375" style="103" customWidth="1"/>
    <col min="5" max="5" width="30.5703125" style="103" customWidth="1"/>
    <col min="6" max="6" width="13.85546875" style="103" customWidth="1"/>
    <col min="7" max="16384" width="9.140625" style="103"/>
  </cols>
  <sheetData>
    <row r="9" spans="2:6" s="89" customFormat="1" ht="15" x14ac:dyDescent="0.2">
      <c r="B9" s="406" t="s">
        <v>241</v>
      </c>
      <c r="C9" s="407"/>
      <c r="D9" s="407"/>
      <c r="E9" s="408"/>
    </row>
    <row r="10" spans="2:6" s="89" customFormat="1" ht="14.25" x14ac:dyDescent="0.2">
      <c r="B10" s="90" t="s">
        <v>79</v>
      </c>
      <c r="C10" s="91" t="s">
        <v>86</v>
      </c>
      <c r="D10" s="92" t="s">
        <v>87</v>
      </c>
      <c r="E10" s="92" t="s">
        <v>88</v>
      </c>
    </row>
    <row r="11" spans="2:6" s="89" customFormat="1" ht="14.25" x14ac:dyDescent="0.2">
      <c r="B11" s="93" t="s">
        <v>89</v>
      </c>
      <c r="C11" s="94">
        <v>522020295.01057279</v>
      </c>
      <c r="D11" s="95" t="s">
        <v>90</v>
      </c>
      <c r="E11" s="96">
        <f>C11/$D$20</f>
        <v>0.36068558404402251</v>
      </c>
    </row>
    <row r="12" spans="2:6" s="89" customFormat="1" ht="14.25" x14ac:dyDescent="0.2">
      <c r="B12" s="93" t="s">
        <v>91</v>
      </c>
      <c r="C12" s="94">
        <v>106870256.96647988</v>
      </c>
      <c r="D12" s="95" t="s">
        <v>92</v>
      </c>
      <c r="E12" s="96">
        <f>C12/$D$20</f>
        <v>7.3841115794375106E-2</v>
      </c>
    </row>
    <row r="13" spans="2:6" s="89" customFormat="1" ht="14.25" x14ac:dyDescent="0.2">
      <c r="B13" s="93" t="s">
        <v>240</v>
      </c>
      <c r="C13" s="94">
        <v>24364772.166921686</v>
      </c>
      <c r="D13" s="95" t="s">
        <v>93</v>
      </c>
      <c r="E13" s="96">
        <f>C13/$D$20</f>
        <v>1.6834636819910809E-2</v>
      </c>
    </row>
    <row r="14" spans="2:6" s="89" customFormat="1" ht="14.25" x14ac:dyDescent="0.2">
      <c r="B14" s="97" t="s">
        <v>239</v>
      </c>
      <c r="C14" s="94">
        <v>143166576.61901656</v>
      </c>
      <c r="D14" s="98" t="s">
        <v>94</v>
      </c>
      <c r="E14" s="96">
        <f>C14/$D$20</f>
        <v>9.8919756179915247E-2</v>
      </c>
    </row>
    <row r="15" spans="2:6" s="89" customFormat="1" ht="15" x14ac:dyDescent="0.2">
      <c r="B15" s="99" t="s">
        <v>95</v>
      </c>
      <c r="C15" s="100">
        <v>650878235.70949697</v>
      </c>
      <c r="D15" s="101" t="s">
        <v>96</v>
      </c>
      <c r="E15" s="96">
        <f>C15/$D$20</f>
        <v>0.44971890716177632</v>
      </c>
      <c r="F15" s="102"/>
    </row>
    <row r="16" spans="2:6" ht="15" x14ac:dyDescent="0.25">
      <c r="D16" s="104" t="s">
        <v>23</v>
      </c>
      <c r="E16" s="105">
        <f>SUM(E11:E15)</f>
        <v>1</v>
      </c>
    </row>
    <row r="18" spans="2:4" x14ac:dyDescent="0.25">
      <c r="B18" s="106"/>
    </row>
    <row r="19" spans="2:4" ht="15" x14ac:dyDescent="0.25">
      <c r="B19" s="106"/>
      <c r="C19" s="107" t="s">
        <v>97</v>
      </c>
      <c r="D19" s="108" t="s">
        <v>98</v>
      </c>
    </row>
    <row r="20" spans="2:4" ht="14.25" x14ac:dyDescent="0.25">
      <c r="B20" s="109"/>
      <c r="C20" s="100">
        <f>SUM(C11:C14)</f>
        <v>796421900.76299095</v>
      </c>
      <c r="D20" s="100">
        <f>SUM(C11:C15)</f>
        <v>1447300136.4724879</v>
      </c>
    </row>
  </sheetData>
  <mergeCells count="1">
    <mergeCell ref="B9:E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61"/>
  <sheetViews>
    <sheetView showGridLines="0" zoomScale="80" zoomScaleNormal="80" workbookViewId="0"/>
  </sheetViews>
  <sheetFormatPr defaultRowHeight="15" x14ac:dyDescent="0.25"/>
  <cols>
    <col min="1" max="1" width="4.85546875" style="146" customWidth="1"/>
    <col min="2" max="2" width="78.7109375" style="146" customWidth="1"/>
    <col min="3" max="3" width="26.28515625" style="146" customWidth="1"/>
    <col min="4" max="4" width="13" style="146" customWidth="1"/>
    <col min="5" max="5" width="6" style="146" customWidth="1"/>
    <col min="6" max="6" width="59.85546875" customWidth="1"/>
    <col min="7" max="7" width="11" bestFit="1" customWidth="1"/>
    <col min="8" max="8" width="24.5703125" customWidth="1"/>
  </cols>
  <sheetData>
    <row r="1" spans="2:5" s="146" customFormat="1" ht="14.25" x14ac:dyDescent="0.2"/>
    <row r="2" spans="2:5" s="146" customFormat="1" ht="14.25" x14ac:dyDescent="0.2"/>
    <row r="3" spans="2:5" s="146" customFormat="1" ht="18" x14ac:dyDescent="0.2">
      <c r="B3" s="337" t="s">
        <v>252</v>
      </c>
      <c r="C3" s="337"/>
      <c r="D3" s="337"/>
      <c r="E3" s="337"/>
    </row>
    <row r="4" spans="2:5" s="146" customFormat="1" ht="14.25" x14ac:dyDescent="0.2"/>
    <row r="5" spans="2:5" s="146" customFormat="1" ht="14.25" x14ac:dyDescent="0.2"/>
    <row r="6" spans="2:5" s="146" customFormat="1" ht="14.25" x14ac:dyDescent="0.2"/>
    <row r="7" spans="2:5" s="149" customFormat="1" x14ac:dyDescent="0.25">
      <c r="B7" s="147" t="s">
        <v>132</v>
      </c>
      <c r="C7" s="148" t="s">
        <v>133</v>
      </c>
    </row>
    <row r="8" spans="2:5" s="152" customFormat="1" ht="14.25" x14ac:dyDescent="0.2">
      <c r="B8" s="150" t="s">
        <v>134</v>
      </c>
      <c r="C8" s="151" t="s">
        <v>254</v>
      </c>
      <c r="D8" s="10"/>
    </row>
    <row r="9" spans="2:5" s="152" customFormat="1" ht="14.25" x14ac:dyDescent="0.2">
      <c r="B9" s="150" t="s">
        <v>137</v>
      </c>
      <c r="C9" s="151" t="s">
        <v>255</v>
      </c>
      <c r="D9" s="10"/>
    </row>
    <row r="10" spans="2:5" s="152" customFormat="1" ht="14.25" x14ac:dyDescent="0.2">
      <c r="B10" s="156" t="s">
        <v>139</v>
      </c>
      <c r="C10" s="151" t="s">
        <v>256</v>
      </c>
      <c r="D10" s="10"/>
    </row>
    <row r="11" spans="2:5" s="152" customFormat="1" ht="14.25" x14ac:dyDescent="0.2">
      <c r="B11" s="156" t="s">
        <v>141</v>
      </c>
      <c r="C11" s="151" t="s">
        <v>254</v>
      </c>
      <c r="D11" s="10"/>
    </row>
    <row r="12" spans="2:5" s="152" customFormat="1" ht="14.25" x14ac:dyDescent="0.2">
      <c r="B12" s="150" t="s">
        <v>144</v>
      </c>
      <c r="C12" s="151" t="s">
        <v>257</v>
      </c>
      <c r="D12" s="10"/>
    </row>
    <row r="13" spans="2:5" s="152" customFormat="1" ht="14.25" x14ac:dyDescent="0.2">
      <c r="B13" s="155" t="s">
        <v>147</v>
      </c>
      <c r="C13" s="151" t="s">
        <v>257</v>
      </c>
      <c r="D13" s="10"/>
    </row>
    <row r="14" spans="2:5" s="152" customFormat="1" ht="14.25" x14ac:dyDescent="0.2">
      <c r="B14" s="156" t="s">
        <v>149</v>
      </c>
      <c r="C14" s="151" t="s">
        <v>258</v>
      </c>
      <c r="D14" s="10"/>
      <c r="E14" s="10"/>
    </row>
    <row r="15" spans="2:5" s="152" customFormat="1" ht="14.25" x14ac:dyDescent="0.2">
      <c r="B15" s="156" t="s">
        <v>150</v>
      </c>
      <c r="C15" s="151" t="s">
        <v>257</v>
      </c>
      <c r="D15" s="10"/>
      <c r="E15" s="10"/>
    </row>
    <row r="16" spans="2:5" s="146" customFormat="1" ht="14.25" x14ac:dyDescent="0.2"/>
    <row r="17" spans="2:9" s="160" customFormat="1" x14ac:dyDescent="0.25">
      <c r="B17" s="342" t="s">
        <v>259</v>
      </c>
      <c r="C17" s="344"/>
      <c r="D17" s="343"/>
      <c r="F17" s="342" t="s">
        <v>328</v>
      </c>
      <c r="G17" s="344"/>
      <c r="H17" s="343"/>
    </row>
    <row r="18" spans="2:9" s="160" customFormat="1" ht="16.5" x14ac:dyDescent="0.25">
      <c r="B18" s="338" t="s">
        <v>151</v>
      </c>
      <c r="C18" s="339"/>
      <c r="D18" s="340"/>
      <c r="F18" s="338" t="s">
        <v>329</v>
      </c>
      <c r="G18" s="339"/>
      <c r="H18" s="340"/>
    </row>
    <row r="19" spans="2:9" s="146" customFormat="1" ht="18.75" x14ac:dyDescent="0.35">
      <c r="B19" s="150" t="s">
        <v>135</v>
      </c>
      <c r="C19" s="153" t="s">
        <v>152</v>
      </c>
      <c r="D19" s="212">
        <f>H19/H25</f>
        <v>0.1661033924302473</v>
      </c>
      <c r="F19" s="150" t="s">
        <v>330</v>
      </c>
      <c r="G19" s="153" t="s">
        <v>332</v>
      </c>
      <c r="H19" s="163">
        <f>'2ª RTP - Reposic Tarifário'!G17</f>
        <v>56540074.771112047</v>
      </c>
      <c r="I19" s="161" t="s">
        <v>266</v>
      </c>
    </row>
    <row r="20" spans="2:9" s="146" customFormat="1" ht="18.75" x14ac:dyDescent="0.35">
      <c r="B20" s="150" t="s">
        <v>138</v>
      </c>
      <c r="C20" s="153" t="s">
        <v>153</v>
      </c>
      <c r="D20" s="212">
        <f>H20/H25</f>
        <v>3.6489979934801367E-2</v>
      </c>
      <c r="F20" s="150" t="s">
        <v>270</v>
      </c>
      <c r="G20" s="153" t="s">
        <v>333</v>
      </c>
      <c r="H20" s="163">
        <f>'2ª RTP - Reposic Tarifário'!G15</f>
        <v>12420855.250000002</v>
      </c>
      <c r="I20" s="161" t="s">
        <v>263</v>
      </c>
    </row>
    <row r="21" spans="2:9" s="146" customFormat="1" ht="18.75" x14ac:dyDescent="0.35">
      <c r="B21" s="150" t="s">
        <v>140</v>
      </c>
      <c r="C21" s="153" t="s">
        <v>130</v>
      </c>
      <c r="D21" s="212">
        <f>H21/H25</f>
        <v>4.1986724705825074</v>
      </c>
      <c r="F21" s="150" t="s">
        <v>160</v>
      </c>
      <c r="G21" s="153" t="s">
        <v>334</v>
      </c>
      <c r="H21" s="163">
        <f>'2ª RTP - Reposic Tarifário'!C42</f>
        <v>1429189686.9345071</v>
      </c>
      <c r="I21" s="161" t="s">
        <v>264</v>
      </c>
    </row>
    <row r="22" spans="2:9" s="146" customFormat="1" ht="18.75" x14ac:dyDescent="0.35">
      <c r="B22" s="150" t="s">
        <v>154</v>
      </c>
      <c r="C22" s="153" t="s">
        <v>155</v>
      </c>
      <c r="D22" s="212">
        <f>H22/H25</f>
        <v>0.1903297398190853</v>
      </c>
      <c r="F22" s="150" t="s">
        <v>331</v>
      </c>
      <c r="G22" s="153" t="s">
        <v>335</v>
      </c>
      <c r="H22" s="163">
        <f>'2ª RTP - Reposic Tarifário'!G62</f>
        <v>64786501.726967551</v>
      </c>
      <c r="I22" s="161" t="s">
        <v>265</v>
      </c>
    </row>
    <row r="23" spans="2:9" s="146" customFormat="1" ht="18.75" x14ac:dyDescent="0.35">
      <c r="B23" s="338" t="s">
        <v>156</v>
      </c>
      <c r="C23" s="339"/>
      <c r="D23" s="225">
        <f>SUM(D19:D22)</f>
        <v>4.591595582766641</v>
      </c>
      <c r="F23" s="157" t="s">
        <v>164</v>
      </c>
      <c r="G23" s="158" t="s">
        <v>165</v>
      </c>
      <c r="H23" s="163">
        <f>SUM(H19:H22)</f>
        <v>1562937118.6825867</v>
      </c>
    </row>
    <row r="24" spans="2:9" s="146" customFormat="1" x14ac:dyDescent="0.2">
      <c r="B24" s="321"/>
      <c r="C24" s="321"/>
      <c r="D24" s="322"/>
      <c r="F24" s="341" t="s">
        <v>327</v>
      </c>
      <c r="G24" s="341"/>
      <c r="H24" s="312" t="s">
        <v>325</v>
      </c>
    </row>
    <row r="25" spans="2:9" s="146" customFormat="1" x14ac:dyDescent="0.2">
      <c r="B25" s="321"/>
      <c r="C25" s="321"/>
      <c r="D25" s="322"/>
      <c r="F25" s="155" t="s">
        <v>326</v>
      </c>
      <c r="G25" s="211"/>
      <c r="H25" s="323">
        <v>340390849</v>
      </c>
    </row>
    <row r="26" spans="2:9" s="160" customFormat="1" x14ac:dyDescent="0.25">
      <c r="B26" s="321"/>
      <c r="C26" s="321"/>
      <c r="D26" s="322"/>
    </row>
    <row r="27" spans="2:9" s="146" customFormat="1" x14ac:dyDescent="0.2">
      <c r="B27" s="160"/>
      <c r="C27" s="160"/>
      <c r="D27" s="160"/>
      <c r="F27" s="342" t="s">
        <v>268</v>
      </c>
      <c r="G27" s="344"/>
      <c r="H27" s="343"/>
    </row>
    <row r="28" spans="2:9" s="146" customFormat="1" ht="16.5" x14ac:dyDescent="0.2">
      <c r="B28" s="338" t="s">
        <v>267</v>
      </c>
      <c r="C28" s="339"/>
      <c r="D28" s="340"/>
      <c r="F28" s="338" t="s">
        <v>157</v>
      </c>
      <c r="G28" s="339"/>
      <c r="H28" s="340"/>
    </row>
    <row r="29" spans="2:9" s="146" customFormat="1" ht="18.75" x14ac:dyDescent="0.35">
      <c r="B29" s="150" t="s">
        <v>135</v>
      </c>
      <c r="C29" s="153" t="s">
        <v>136</v>
      </c>
      <c r="D29" s="154">
        <f>H29/H35</f>
        <v>0.17831572145323693</v>
      </c>
      <c r="F29" s="150" t="s">
        <v>158</v>
      </c>
      <c r="G29" s="153" t="s">
        <v>159</v>
      </c>
      <c r="H29" s="162">
        <f>+'VPA 2017'!C23</f>
        <v>61531292.414753906</v>
      </c>
    </row>
    <row r="30" spans="2:9" s="146" customFormat="1" ht="18.75" x14ac:dyDescent="0.35">
      <c r="B30" s="155" t="s">
        <v>138</v>
      </c>
      <c r="C30" s="211" t="s">
        <v>260</v>
      </c>
      <c r="D30" s="154">
        <f>+H30/H35</f>
        <v>3.3527993767444371E-2</v>
      </c>
      <c r="F30" s="150" t="s">
        <v>270</v>
      </c>
      <c r="G30" s="153" t="s">
        <v>269</v>
      </c>
      <c r="H30" s="162">
        <f>+Bonus_Total!G10</f>
        <v>11569483.452</v>
      </c>
    </row>
    <row r="31" spans="2:9" s="146" customFormat="1" ht="18.75" x14ac:dyDescent="0.35">
      <c r="B31" s="150" t="s">
        <v>140</v>
      </c>
      <c r="C31" s="153" t="s">
        <v>131</v>
      </c>
      <c r="D31" s="154">
        <f>+'VPB 2017'!C24</f>
        <v>4.4846595127926498</v>
      </c>
      <c r="F31" s="150" t="s">
        <v>160</v>
      </c>
      <c r="G31" s="153" t="s">
        <v>161</v>
      </c>
      <c r="H31" s="162">
        <f>D31*H35</f>
        <v>1547518601.3512499</v>
      </c>
    </row>
    <row r="32" spans="2:9" s="160" customFormat="1" ht="18.75" x14ac:dyDescent="0.35">
      <c r="B32" s="150" t="s">
        <v>142</v>
      </c>
      <c r="C32" s="153" t="s">
        <v>143</v>
      </c>
      <c r="D32" s="154">
        <f>H32/H35</f>
        <v>3.7333652214753349E-2</v>
      </c>
      <c r="F32" s="150" t="s">
        <v>162</v>
      </c>
      <c r="G32" s="153" t="s">
        <v>163</v>
      </c>
      <c r="H32" s="162">
        <f>'CF - Parcela A'!C11+'CF - Outros'!C12+'CF - Outros'!D25</f>
        <v>12882699.588208478</v>
      </c>
    </row>
    <row r="33" spans="1:8" s="146" customFormat="1" ht="18.75" x14ac:dyDescent="0.35">
      <c r="B33" s="338" t="s">
        <v>145</v>
      </c>
      <c r="C33" s="339" t="s">
        <v>146</v>
      </c>
      <c r="D33" s="225">
        <f>SUM(D29:D32)</f>
        <v>4.7338368802280844</v>
      </c>
      <c r="F33" s="157" t="s">
        <v>164</v>
      </c>
      <c r="G33" s="158" t="s">
        <v>165</v>
      </c>
      <c r="H33" s="163">
        <f>SUM(H29:H32)</f>
        <v>1633502076.8062122</v>
      </c>
    </row>
    <row r="34" spans="1:8" s="160" customFormat="1" ht="16.5" x14ac:dyDescent="0.25">
      <c r="B34" s="342" t="s">
        <v>148</v>
      </c>
      <c r="C34" s="343"/>
      <c r="D34" s="159">
        <f>D33/D23-1</f>
        <v>3.0978620590042638E-2</v>
      </c>
      <c r="F34" s="342" t="s">
        <v>166</v>
      </c>
      <c r="G34" s="344"/>
      <c r="H34" s="312" t="s">
        <v>338</v>
      </c>
    </row>
    <row r="35" spans="1:8" x14ac:dyDescent="0.25">
      <c r="B35" s="160"/>
      <c r="C35" s="160"/>
      <c r="D35" s="160"/>
      <c r="F35" s="157" t="s">
        <v>167</v>
      </c>
      <c r="G35" s="158" t="s">
        <v>168</v>
      </c>
      <c r="H35" s="323">
        <f>+Volume_2016!P112</f>
        <v>345069363</v>
      </c>
    </row>
    <row r="40" spans="1:8" x14ac:dyDescent="0.25">
      <c r="A40" s="149"/>
      <c r="E40" s="149"/>
    </row>
    <row r="41" spans="1:8" x14ac:dyDescent="0.25">
      <c r="A41" s="152"/>
      <c r="B41" s="149"/>
      <c r="C41" s="149"/>
      <c r="D41" s="149"/>
      <c r="E41" s="152"/>
    </row>
    <row r="42" spans="1:8" x14ac:dyDescent="0.25">
      <c r="A42" s="152"/>
      <c r="B42" s="152"/>
      <c r="C42" s="152"/>
      <c r="D42" s="152"/>
      <c r="E42" s="10"/>
    </row>
    <row r="43" spans="1:8" x14ac:dyDescent="0.25">
      <c r="A43" s="10"/>
      <c r="B43" s="10"/>
      <c r="C43" s="10"/>
      <c r="D43" s="10"/>
      <c r="E43" s="10"/>
    </row>
    <row r="44" spans="1:8" x14ac:dyDescent="0.25">
      <c r="A44" s="10"/>
      <c r="B44" s="10"/>
      <c r="C44" s="10"/>
      <c r="D44" s="10"/>
      <c r="E44" s="10"/>
    </row>
    <row r="45" spans="1:8" x14ac:dyDescent="0.25">
      <c r="A45" s="10"/>
      <c r="B45" s="10"/>
      <c r="C45" s="10"/>
      <c r="D45" s="10"/>
      <c r="E45" s="10"/>
    </row>
    <row r="46" spans="1:8" x14ac:dyDescent="0.25">
      <c r="A46" s="10"/>
      <c r="B46" s="10"/>
      <c r="C46" s="10"/>
      <c r="D46" s="10"/>
      <c r="E46" s="10"/>
    </row>
    <row r="47" spans="1:8" x14ac:dyDescent="0.25">
      <c r="A47" s="10"/>
      <c r="B47" s="10"/>
      <c r="C47" s="10"/>
      <c r="D47" s="10"/>
      <c r="E47" s="10"/>
    </row>
    <row r="48" spans="1:8" x14ac:dyDescent="0.25">
      <c r="A48" s="10"/>
      <c r="B48" s="10"/>
      <c r="C48" s="10"/>
      <c r="D48" s="10"/>
      <c r="E48" s="10"/>
    </row>
    <row r="49" spans="1:5" x14ac:dyDescent="0.25">
      <c r="A49" s="10"/>
      <c r="B49" s="10"/>
      <c r="C49" s="10"/>
      <c r="D49" s="10"/>
      <c r="E49" s="10"/>
    </row>
    <row r="50" spans="1:5" x14ac:dyDescent="0.25">
      <c r="A50" s="10"/>
      <c r="B50" s="10"/>
      <c r="C50" s="10"/>
      <c r="D50" s="10"/>
      <c r="E50" s="10"/>
    </row>
    <row r="51" spans="1:5" x14ac:dyDescent="0.25">
      <c r="A51" s="10"/>
      <c r="B51" s="10"/>
      <c r="C51" s="10"/>
      <c r="D51" s="10"/>
      <c r="E51" s="10"/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/>
      <c r="B53" s="10"/>
      <c r="C53" s="10"/>
      <c r="D53" s="10"/>
      <c r="E53" s="10"/>
    </row>
    <row r="54" spans="1:5" x14ac:dyDescent="0.25">
      <c r="A54" s="10"/>
      <c r="B54" s="10"/>
      <c r="C54" s="10"/>
      <c r="D54" s="10"/>
      <c r="E54" s="10"/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/>
      <c r="B56" s="10"/>
      <c r="C56" s="10"/>
      <c r="D56" s="10"/>
      <c r="E56" s="10"/>
    </row>
    <row r="57" spans="1:5" x14ac:dyDescent="0.25">
      <c r="A57" s="10"/>
      <c r="B57" s="10"/>
      <c r="C57" s="10"/>
      <c r="D57" s="10"/>
      <c r="E57" s="10"/>
    </row>
    <row r="58" spans="1:5" x14ac:dyDescent="0.25">
      <c r="A58" s="10"/>
      <c r="B58" s="10"/>
      <c r="C58" s="10"/>
      <c r="D58" s="10"/>
      <c r="E58" s="10"/>
    </row>
    <row r="59" spans="1:5" x14ac:dyDescent="0.25">
      <c r="A59" s="10"/>
      <c r="B59" s="10"/>
      <c r="C59" s="10"/>
      <c r="D59" s="10"/>
      <c r="E59" s="10"/>
    </row>
    <row r="60" spans="1:5" x14ac:dyDescent="0.25">
      <c r="A60" s="10"/>
      <c r="B60" s="10"/>
      <c r="C60" s="10"/>
      <c r="D60" s="10"/>
      <c r="E60" s="10"/>
    </row>
    <row r="61" spans="1:5" x14ac:dyDescent="0.25">
      <c r="B61" s="10"/>
      <c r="C61" s="10"/>
      <c r="D61" s="10"/>
    </row>
  </sheetData>
  <mergeCells count="13">
    <mergeCell ref="B3:E3"/>
    <mergeCell ref="B28:D28"/>
    <mergeCell ref="F24:G24"/>
    <mergeCell ref="B34:C34"/>
    <mergeCell ref="B17:D17"/>
    <mergeCell ref="B18:D18"/>
    <mergeCell ref="B23:C23"/>
    <mergeCell ref="B33:C33"/>
    <mergeCell ref="F17:H17"/>
    <mergeCell ref="F18:H18"/>
    <mergeCell ref="F34:G34"/>
    <mergeCell ref="F27:H27"/>
    <mergeCell ref="F28:H28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M29"/>
  <sheetViews>
    <sheetView showGridLines="0" zoomScale="80" zoomScaleNormal="80" workbookViewId="0"/>
  </sheetViews>
  <sheetFormatPr defaultRowHeight="15" x14ac:dyDescent="0.25"/>
  <cols>
    <col min="1" max="1" width="4.7109375" style="110" customWidth="1"/>
    <col min="2" max="2" width="55.42578125" style="110" bestFit="1" customWidth="1"/>
    <col min="3" max="3" width="25.140625" style="110" bestFit="1" customWidth="1"/>
    <col min="4" max="4" width="2.28515625" style="110" customWidth="1"/>
    <col min="5" max="5" width="20.140625" style="110" customWidth="1"/>
    <col min="6" max="6" width="25.28515625" style="110" bestFit="1" customWidth="1"/>
    <col min="7" max="7" width="14.42578125" style="110" bestFit="1" customWidth="1"/>
    <col min="10" max="10" width="17.42578125" bestFit="1" customWidth="1"/>
    <col min="13" max="13" width="13.140625" bestFit="1" customWidth="1"/>
  </cols>
  <sheetData>
    <row r="1" spans="2:13" s="110" customFormat="1" ht="14.25" x14ac:dyDescent="0.25"/>
    <row r="2" spans="2:13" s="110" customFormat="1" ht="14.25" x14ac:dyDescent="0.25"/>
    <row r="3" spans="2:13" s="110" customFormat="1" ht="18.75" x14ac:dyDescent="0.25">
      <c r="B3" s="345" t="s">
        <v>246</v>
      </c>
      <c r="C3" s="346"/>
    </row>
    <row r="4" spans="2:13" s="110" customFormat="1" ht="28.5" customHeight="1" x14ac:dyDescent="0.25">
      <c r="M4" s="228"/>
    </row>
    <row r="5" spans="2:13" s="110" customFormat="1" ht="18" customHeight="1" x14ac:dyDescent="0.25">
      <c r="B5" s="111" t="s">
        <v>99</v>
      </c>
      <c r="C5" s="112" t="s">
        <v>100</v>
      </c>
    </row>
    <row r="6" spans="2:13" s="110" customFormat="1" ht="18" customHeight="1" x14ac:dyDescent="0.2">
      <c r="B6" s="113" t="s">
        <v>247</v>
      </c>
      <c r="C6" s="114">
        <v>0.01</v>
      </c>
      <c r="F6" s="229"/>
      <c r="M6" s="230"/>
    </row>
    <row r="7" spans="2:13" s="110" customFormat="1" ht="18" customHeight="1" x14ac:dyDescent="0.2">
      <c r="B7" s="113" t="s">
        <v>248</v>
      </c>
      <c r="C7" s="114">
        <v>2.5000000000000001E-2</v>
      </c>
      <c r="M7" s="228"/>
    </row>
    <row r="8" spans="2:13" s="110" customFormat="1" ht="18" customHeight="1" x14ac:dyDescent="0.2">
      <c r="D8" s="115"/>
      <c r="G8" s="115"/>
      <c r="M8" s="230"/>
    </row>
    <row r="9" spans="2:13" s="117" customFormat="1" ht="18" customHeight="1" x14ac:dyDescent="0.25">
      <c r="B9" s="347" t="s">
        <v>101</v>
      </c>
      <c r="C9" s="347"/>
      <c r="D9" s="116"/>
      <c r="F9" s="110"/>
      <c r="G9" s="110"/>
      <c r="H9" s="110"/>
      <c r="I9" s="110"/>
      <c r="J9" s="110"/>
      <c r="K9" s="110"/>
    </row>
    <row r="10" spans="2:13" s="110" customFormat="1" ht="18" customHeight="1" x14ac:dyDescent="0.2">
      <c r="B10" s="118" t="s">
        <v>102</v>
      </c>
      <c r="C10" s="119">
        <f>+Volume_2016!P50</f>
        <v>187770864</v>
      </c>
      <c r="D10" s="115"/>
    </row>
    <row r="11" spans="2:13" s="110" customFormat="1" ht="18" customHeight="1" x14ac:dyDescent="0.2">
      <c r="B11" s="118" t="s">
        <v>103</v>
      </c>
      <c r="C11" s="119">
        <f>+Volume_2016!P81</f>
        <v>157298499</v>
      </c>
      <c r="D11" s="115"/>
    </row>
    <row r="12" spans="2:13" s="110" customFormat="1" ht="18" customHeight="1" x14ac:dyDescent="0.2">
      <c r="B12" s="121" t="s">
        <v>104</v>
      </c>
      <c r="C12" s="122">
        <f>SUM(C10:C11)</f>
        <v>345069363</v>
      </c>
      <c r="D12" s="115"/>
      <c r="J12" s="227"/>
    </row>
    <row r="13" spans="2:13" s="110" customFormat="1" ht="18" customHeight="1" x14ac:dyDescent="0.2">
      <c r="B13" s="121" t="s">
        <v>105</v>
      </c>
      <c r="C13" s="122">
        <f>('IRT 2017'!H31+'IRT 2017'!H32)/(1-'VPA 2017'!C6-'VPA 2017'!C7/'VPA 2017'!C12*'VPA 2017'!C19)</f>
        <v>1621932593.3542123</v>
      </c>
      <c r="D13" s="115"/>
    </row>
    <row r="14" spans="2:13" s="117" customFormat="1" ht="18" customHeight="1" x14ac:dyDescent="0.25">
      <c r="B14" s="120" t="s">
        <v>106</v>
      </c>
      <c r="C14" s="123">
        <f>C6*C13</f>
        <v>16219325.933542123</v>
      </c>
      <c r="H14" s="110"/>
      <c r="I14" s="110"/>
      <c r="J14" s="110"/>
      <c r="K14" s="110"/>
      <c r="L14" s="110"/>
      <c r="M14" s="110"/>
    </row>
    <row r="15" spans="2:13" s="117" customFormat="1" ht="18" customHeight="1" x14ac:dyDescent="0.25">
      <c r="B15" s="124"/>
      <c r="C15" s="125"/>
      <c r="H15" s="110"/>
      <c r="I15" s="110"/>
      <c r="J15" s="110"/>
      <c r="K15" s="110"/>
      <c r="L15" s="110"/>
      <c r="M15" s="110"/>
    </row>
    <row r="16" spans="2:13" s="110" customFormat="1" ht="18" customHeight="1" x14ac:dyDescent="0.25">
      <c r="B16" s="347" t="s">
        <v>107</v>
      </c>
      <c r="C16" s="347"/>
    </row>
    <row r="17" spans="2:3" s="110" customFormat="1" ht="14.25" x14ac:dyDescent="0.25">
      <c r="B17" s="118" t="s">
        <v>108</v>
      </c>
      <c r="C17" s="119">
        <f>+Volume_2016!P10</f>
        <v>249683111.90000001</v>
      </c>
    </row>
    <row r="18" spans="2:3" s="110" customFormat="1" ht="14.25" x14ac:dyDescent="0.25">
      <c r="B18" s="118" t="s">
        <v>109</v>
      </c>
      <c r="C18" s="119">
        <f>+Volume_2016!P11</f>
        <v>135925303</v>
      </c>
    </row>
    <row r="19" spans="2:3" s="110" customFormat="1" ht="14.25" x14ac:dyDescent="0.2">
      <c r="B19" s="121" t="s">
        <v>110</v>
      </c>
      <c r="C19" s="122">
        <f>SUM(C17:C18)</f>
        <v>385608414.89999998</v>
      </c>
    </row>
    <row r="20" spans="2:3" s="110" customFormat="1" ht="14.25" x14ac:dyDescent="0.2">
      <c r="B20" s="121" t="s">
        <v>111</v>
      </c>
      <c r="C20" s="122">
        <f>C13/C12*C19</f>
        <v>1812478659.2484713</v>
      </c>
    </row>
    <row r="21" spans="2:3" s="110" customFormat="1" x14ac:dyDescent="0.25">
      <c r="B21" s="120" t="s">
        <v>112</v>
      </c>
      <c r="C21" s="123">
        <f>C7*C20</f>
        <v>45311966.481211782</v>
      </c>
    </row>
    <row r="22" spans="2:3" s="110" customFormat="1" ht="14.25" x14ac:dyDescent="0.25">
      <c r="B22" s="124"/>
      <c r="C22" s="125"/>
    </row>
    <row r="23" spans="2:3" s="110" customFormat="1" x14ac:dyDescent="0.25">
      <c r="B23" s="120" t="s">
        <v>273</v>
      </c>
      <c r="C23" s="123">
        <f>C14+C21</f>
        <v>61531292.414753906</v>
      </c>
    </row>
    <row r="24" spans="2:3" s="110" customFormat="1" ht="14.25" x14ac:dyDescent="0.25">
      <c r="C24" s="126"/>
    </row>
    <row r="25" spans="2:3" s="110" customFormat="1" ht="16.5" x14ac:dyDescent="0.3">
      <c r="B25" s="127" t="s">
        <v>113</v>
      </c>
      <c r="C25" s="128"/>
    </row>
    <row r="26" spans="2:3" s="110" customFormat="1" x14ac:dyDescent="0.25">
      <c r="B26" s="129" t="s">
        <v>114</v>
      </c>
      <c r="C26" s="128"/>
    </row>
    <row r="27" spans="2:3" customFormat="1" x14ac:dyDescent="0.25">
      <c r="B27" s="110"/>
      <c r="C27" s="130"/>
    </row>
    <row r="28" spans="2:3" customFormat="1" x14ac:dyDescent="0.25">
      <c r="B28" s="110"/>
      <c r="C28" s="126"/>
    </row>
    <row r="29" spans="2:3" customFormat="1" x14ac:dyDescent="0.25">
      <c r="B29" s="110"/>
      <c r="C29" s="126"/>
    </row>
  </sheetData>
  <mergeCells count="3">
    <mergeCell ref="B3:C3"/>
    <mergeCell ref="B9:C9"/>
    <mergeCell ref="B16:C16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25"/>
  <sheetViews>
    <sheetView showGridLines="0" zoomScale="80" zoomScaleNormal="80" workbookViewId="0"/>
  </sheetViews>
  <sheetFormatPr defaultRowHeight="15" x14ac:dyDescent="0.25"/>
  <cols>
    <col min="1" max="1" width="4.7109375" style="10" customWidth="1"/>
    <col min="2" max="2" width="28.85546875" style="10" bestFit="1" customWidth="1"/>
    <col min="3" max="3" width="23" style="10" customWidth="1"/>
    <col min="4" max="4" width="25.140625" style="10" customWidth="1"/>
    <col min="5" max="5" width="23.85546875" style="10" customWidth="1"/>
    <col min="6" max="6" width="16.7109375" style="10" customWidth="1"/>
    <col min="7" max="7" width="19" style="10" bestFit="1" customWidth="1"/>
  </cols>
  <sheetData>
    <row r="1" spans="2:7" s="10" customFormat="1" ht="14.25" x14ac:dyDescent="0.2"/>
    <row r="2" spans="2:7" s="10" customFormat="1" ht="14.25" x14ac:dyDescent="0.2"/>
    <row r="3" spans="2:7" s="10" customFormat="1" ht="18" x14ac:dyDescent="0.2">
      <c r="B3" s="348" t="s">
        <v>251</v>
      </c>
      <c r="C3" s="348"/>
      <c r="D3" s="348"/>
      <c r="E3" s="348"/>
      <c r="F3" s="348"/>
      <c r="G3" s="348"/>
    </row>
    <row r="4" spans="2:7" s="10" customFormat="1" ht="14.25" x14ac:dyDescent="0.2"/>
    <row r="5" spans="2:7" s="10" customFormat="1" ht="14.25" x14ac:dyDescent="0.2"/>
    <row r="6" spans="2:7" s="10" customFormat="1" ht="14.25" x14ac:dyDescent="0.2"/>
    <row r="7" spans="2:7" s="10" customFormat="1" ht="17.100000000000001" customHeight="1" x14ac:dyDescent="0.25">
      <c r="B7" s="357" t="s">
        <v>115</v>
      </c>
      <c r="C7" s="358"/>
      <c r="D7" s="358"/>
      <c r="E7" s="358"/>
      <c r="F7" s="358"/>
    </row>
    <row r="8" spans="2:7" s="10" customFormat="1" ht="17.100000000000001" customHeight="1" x14ac:dyDescent="0.2">
      <c r="B8" s="131" t="s">
        <v>79</v>
      </c>
      <c r="C8" s="131"/>
      <c r="D8" s="11" t="s">
        <v>116</v>
      </c>
      <c r="E8" s="12" t="s">
        <v>117</v>
      </c>
      <c r="F8" s="12" t="s">
        <v>118</v>
      </c>
    </row>
    <row r="9" spans="2:7" s="10" customFormat="1" ht="14.25" x14ac:dyDescent="0.2">
      <c r="B9" s="83" t="s">
        <v>119</v>
      </c>
      <c r="C9" s="132">
        <f>+'Proporção de Custos'!C11</f>
        <v>522020295.01057279</v>
      </c>
      <c r="D9" s="133">
        <f>+'Proporção de Custos'!E11</f>
        <v>0.36068558404402251</v>
      </c>
      <c r="E9" s="134">
        <f>+Indices_2016!$C$22</f>
        <v>6.5799493070161086E-2</v>
      </c>
      <c r="F9" s="135">
        <f>D9*E9</f>
        <v>2.3732928587811664E-2</v>
      </c>
    </row>
    <row r="10" spans="2:7" s="10" customFormat="1" ht="14.25" x14ac:dyDescent="0.2">
      <c r="B10" s="83" t="s">
        <v>120</v>
      </c>
      <c r="C10" s="132">
        <f>+'Proporção de Custos'!C12</f>
        <v>106870256.96647988</v>
      </c>
      <c r="D10" s="133">
        <f>+'Proporção de Custos'!E12</f>
        <v>7.3841115794375106E-2</v>
      </c>
      <c r="E10" s="134">
        <f>+Energia_Eletrica_2016!I11</f>
        <v>5.1397290992470257E-2</v>
      </c>
      <c r="F10" s="135">
        <f>D10*E10</f>
        <v>3.7952333156921888E-3</v>
      </c>
    </row>
    <row r="11" spans="2:7" s="10" customFormat="1" ht="14.25" x14ac:dyDescent="0.2">
      <c r="B11" s="83" t="s">
        <v>121</v>
      </c>
      <c r="C11" s="132">
        <f>+'Proporção de Custos'!C13</f>
        <v>24364772.166921686</v>
      </c>
      <c r="D11" s="133">
        <f>+'Proporção de Custos'!E13</f>
        <v>1.6834636819910809E-2</v>
      </c>
      <c r="E11" s="134">
        <f>+Indices_2016!$E$22</f>
        <v>7.1729082528960708E-2</v>
      </c>
      <c r="F11" s="135">
        <f>D11*E11</f>
        <v>1.207533053800463E-3</v>
      </c>
    </row>
    <row r="12" spans="2:7" s="10" customFormat="1" ht="14.25" x14ac:dyDescent="0.2">
      <c r="B12" s="136" t="s">
        <v>123</v>
      </c>
      <c r="C12" s="132">
        <f>+'Proporção de Custos'!C15</f>
        <v>650878235.70949697</v>
      </c>
      <c r="D12" s="133">
        <f>+'Proporção de Custos'!E15</f>
        <v>0.44971890716177632</v>
      </c>
      <c r="E12" s="134">
        <f>+E11</f>
        <v>7.1729082528960708E-2</v>
      </c>
      <c r="F12" s="135">
        <f>D12*E12</f>
        <v>3.2257924606641071E-2</v>
      </c>
    </row>
    <row r="13" spans="2:7" s="10" customFormat="1" ht="14.25" x14ac:dyDescent="0.2">
      <c r="B13" s="136" t="s">
        <v>122</v>
      </c>
      <c r="C13" s="132">
        <f>+'Proporção de Custos'!C14</f>
        <v>143166576.61901656</v>
      </c>
      <c r="D13" s="133">
        <f>+'Proporção de Custos'!E14</f>
        <v>9.8919756179915247E-2</v>
      </c>
      <c r="E13" s="137">
        <f>+Indices_2016!$D$22</f>
        <v>6.2879882132213849E-2</v>
      </c>
      <c r="F13" s="135">
        <f>D13*E13</f>
        <v>6.2200626091404032E-3</v>
      </c>
    </row>
    <row r="14" spans="2:7" s="10" customFormat="1" ht="14.25" x14ac:dyDescent="0.2">
      <c r="B14" s="136" t="s">
        <v>23</v>
      </c>
      <c r="C14" s="138">
        <f>SUM(C9:C13)</f>
        <v>1447300136.4724879</v>
      </c>
      <c r="D14" s="139">
        <f>SUM(D9:D13)</f>
        <v>1</v>
      </c>
      <c r="E14" s="140"/>
      <c r="F14" s="140">
        <f>SUM(F9:F13)</f>
        <v>6.7213682173085793E-2</v>
      </c>
    </row>
    <row r="15" spans="2:7" s="142" customFormat="1" ht="30" customHeight="1" x14ac:dyDescent="0.25">
      <c r="B15" s="349" t="s">
        <v>124</v>
      </c>
      <c r="C15" s="350"/>
      <c r="D15" s="351"/>
      <c r="E15" s="352"/>
      <c r="F15" s="141">
        <f>SUM(F9:F13)</f>
        <v>6.7213682173085793E-2</v>
      </c>
    </row>
    <row r="16" spans="2:7" s="10" customFormat="1" ht="14.25" x14ac:dyDescent="0.2"/>
    <row r="17" spans="2:5" s="10" customFormat="1" x14ac:dyDescent="0.2">
      <c r="B17" s="353" t="s">
        <v>125</v>
      </c>
      <c r="C17" s="354"/>
      <c r="E17" s="18"/>
    </row>
    <row r="18" spans="2:5" s="10" customFormat="1" ht="14.25" x14ac:dyDescent="0.2">
      <c r="B18" s="83" t="s">
        <v>126</v>
      </c>
      <c r="C18" s="143">
        <f>+F15</f>
        <v>6.7213682173085793E-2</v>
      </c>
      <c r="E18" s="18"/>
    </row>
    <row r="19" spans="2:5" s="10" customFormat="1" ht="14.25" x14ac:dyDescent="0.2">
      <c r="B19" s="83" t="s">
        <v>127</v>
      </c>
      <c r="C19" s="143">
        <v>-8.9999999999999998E-4</v>
      </c>
    </row>
    <row r="20" spans="2:5" s="10" customFormat="1" x14ac:dyDescent="0.2">
      <c r="B20" s="19" t="s">
        <v>128</v>
      </c>
      <c r="C20" s="144">
        <f>C18-C19</f>
        <v>6.8113682173085791E-2</v>
      </c>
    </row>
    <row r="21" spans="2:5" s="10" customFormat="1" ht="14.25" x14ac:dyDescent="0.2"/>
    <row r="22" spans="2:5" s="10" customFormat="1" ht="14.25" x14ac:dyDescent="0.2">
      <c r="B22" s="355" t="s">
        <v>129</v>
      </c>
      <c r="C22" s="356"/>
    </row>
    <row r="23" spans="2:5" s="10" customFormat="1" ht="18.75" x14ac:dyDescent="0.35">
      <c r="B23" s="83" t="s">
        <v>130</v>
      </c>
      <c r="C23" s="145">
        <f>+'IRT 2017'!D21</f>
        <v>4.1986724705825074</v>
      </c>
    </row>
    <row r="24" spans="2:5" s="10" customFormat="1" ht="18.75" x14ac:dyDescent="0.35">
      <c r="B24" s="83" t="s">
        <v>131</v>
      </c>
      <c r="C24" s="145">
        <f>C23*(1+C20)</f>
        <v>4.4846595127926498</v>
      </c>
    </row>
    <row r="25" spans="2:5" s="10" customFormat="1" ht="14.25" x14ac:dyDescent="0.2"/>
  </sheetData>
  <mergeCells count="5">
    <mergeCell ref="B3:G3"/>
    <mergeCell ref="B15:E15"/>
    <mergeCell ref="B17:C17"/>
    <mergeCell ref="B22:C22"/>
    <mergeCell ref="B7:F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Z23"/>
  <sheetViews>
    <sheetView showGridLines="0" zoomScale="90" zoomScaleNormal="90" workbookViewId="0"/>
  </sheetViews>
  <sheetFormatPr defaultRowHeight="15" x14ac:dyDescent="0.25"/>
  <cols>
    <col min="1" max="1" width="6" customWidth="1"/>
    <col min="2" max="2" width="15.7109375" customWidth="1"/>
    <col min="3" max="3" width="16.140625" customWidth="1"/>
    <col min="4" max="4" width="6.28515625" customWidth="1"/>
    <col min="5" max="5" width="16.85546875" style="179" customWidth="1"/>
    <col min="6" max="9" width="16.85546875" customWidth="1"/>
    <col min="10" max="10" width="15.5703125" customWidth="1"/>
    <col min="12" max="12" width="25" bestFit="1" customWidth="1"/>
    <col min="13" max="13" width="6.42578125" bestFit="1" customWidth="1"/>
    <col min="14" max="27" width="17.5703125" customWidth="1"/>
    <col min="28" max="28" width="13.28515625" bestFit="1" customWidth="1"/>
    <col min="29" max="29" width="14.28515625" bestFit="1" customWidth="1"/>
  </cols>
  <sheetData>
    <row r="2" spans="2:26" x14ac:dyDescent="0.25">
      <c r="E2" s="363">
        <v>2016</v>
      </c>
      <c r="F2" s="363"/>
      <c r="G2" s="363"/>
      <c r="H2" s="363"/>
      <c r="I2" s="363"/>
      <c r="J2" s="363"/>
      <c r="L2" s="364" t="s">
        <v>178</v>
      </c>
      <c r="M2" s="365" t="str">
        <f>UPPER("UN")</f>
        <v>UN</v>
      </c>
      <c r="N2" s="359">
        <v>2016</v>
      </c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1"/>
    </row>
    <row r="3" spans="2:26" x14ac:dyDescent="0.25">
      <c r="E3" s="180"/>
      <c r="F3" s="180" t="s">
        <v>172</v>
      </c>
      <c r="G3" s="180" t="s">
        <v>173</v>
      </c>
      <c r="H3" s="180" t="s">
        <v>174</v>
      </c>
      <c r="I3" s="180" t="s">
        <v>175</v>
      </c>
      <c r="J3" s="180" t="s">
        <v>176</v>
      </c>
      <c r="L3" s="364"/>
      <c r="M3" s="365"/>
      <c r="N3" s="199" t="s">
        <v>180</v>
      </c>
      <c r="O3" s="199" t="s">
        <v>181</v>
      </c>
      <c r="P3" s="199" t="s">
        <v>182</v>
      </c>
      <c r="Q3" s="206" t="s">
        <v>261</v>
      </c>
      <c r="R3" s="199" t="s">
        <v>183</v>
      </c>
      <c r="S3" s="199" t="s">
        <v>184</v>
      </c>
      <c r="T3" s="199" t="s">
        <v>185</v>
      </c>
      <c r="U3" s="199" t="s">
        <v>186</v>
      </c>
      <c r="V3" s="199" t="s">
        <v>187</v>
      </c>
      <c r="W3" s="199" t="s">
        <v>188</v>
      </c>
      <c r="X3" s="199" t="s">
        <v>189</v>
      </c>
      <c r="Y3" s="199" t="s">
        <v>190</v>
      </c>
      <c r="Z3" s="199" t="s">
        <v>191</v>
      </c>
    </row>
    <row r="4" spans="2:26" x14ac:dyDescent="0.25">
      <c r="E4" s="181" t="s">
        <v>177</v>
      </c>
      <c r="F4" s="182">
        <f>+N$16</f>
        <v>4821327.0425808579</v>
      </c>
      <c r="G4" s="182">
        <f>$C$16*H4</f>
        <v>4394228.2913390733</v>
      </c>
      <c r="H4" s="213">
        <f>Volume_2016!D$112</f>
        <v>28566085</v>
      </c>
      <c r="I4" s="213">
        <f>+Indices_2016!D10</f>
        <v>4550.2299999999996</v>
      </c>
      <c r="J4" s="182">
        <f>(F4-G4)*$I$15/I4</f>
        <v>448262.06725932326</v>
      </c>
      <c r="L4" s="183" t="s">
        <v>193</v>
      </c>
      <c r="M4" s="193" t="s">
        <v>86</v>
      </c>
      <c r="N4" s="214">
        <v>125488021.2</v>
      </c>
      <c r="O4" s="214">
        <v>120353755.06999999</v>
      </c>
      <c r="P4" s="214">
        <v>125363879.25</v>
      </c>
      <c r="Q4" s="214">
        <v>133915174.14</v>
      </c>
      <c r="R4" s="214">
        <v>140047986.91999999</v>
      </c>
      <c r="S4" s="214">
        <v>143189123.50999999</v>
      </c>
      <c r="T4" s="214">
        <v>150085064.05000001</v>
      </c>
      <c r="U4" s="215">
        <v>149204203.97</v>
      </c>
      <c r="V4" s="214">
        <v>153022394.44</v>
      </c>
      <c r="W4" s="214">
        <v>139825069.28999999</v>
      </c>
      <c r="X4" s="214">
        <v>132069723.56</v>
      </c>
      <c r="Y4" s="214">
        <v>127824732.76000001</v>
      </c>
      <c r="Z4" s="214">
        <f>SUM(N4:Y4)</f>
        <v>1640389128.1599998</v>
      </c>
    </row>
    <row r="5" spans="2:26" x14ac:dyDescent="0.25">
      <c r="E5" s="181" t="s">
        <v>179</v>
      </c>
      <c r="F5" s="182">
        <f>O$16</f>
        <v>4618011.3707825914</v>
      </c>
      <c r="G5" s="182">
        <f>$C$16*H5</f>
        <v>4237066.8751968639</v>
      </c>
      <c r="H5" s="213">
        <f>Volume_2016!E$112</f>
        <v>27544407</v>
      </c>
      <c r="I5" s="213">
        <f>+Indices_2016!D11</f>
        <v>4591.18</v>
      </c>
      <c r="J5" s="182">
        <f t="shared" ref="J5:J15" si="0">(F5-G5)*$I$15/I5</f>
        <v>396254.69434192486</v>
      </c>
      <c r="L5" s="200" t="s">
        <v>214</v>
      </c>
      <c r="M5" s="185" t="s">
        <v>195</v>
      </c>
      <c r="N5" s="216">
        <v>19729750</v>
      </c>
      <c r="O5" s="216">
        <v>19737508</v>
      </c>
      <c r="P5" s="216">
        <v>20964558</v>
      </c>
      <c r="Q5" s="216">
        <v>21178456</v>
      </c>
      <c r="R5" s="216">
        <v>21452307</v>
      </c>
      <c r="S5" s="216">
        <v>20888017</v>
      </c>
      <c r="T5" s="216">
        <v>21588751</v>
      </c>
      <c r="U5" s="216">
        <v>21826427</v>
      </c>
      <c r="V5" s="216">
        <v>21628179</v>
      </c>
      <c r="W5" s="216">
        <v>21115944</v>
      </c>
      <c r="X5" s="216">
        <v>19507088</v>
      </c>
      <c r="Y5" s="216">
        <v>20066127</v>
      </c>
      <c r="Z5" s="216">
        <f t="shared" ref="Z5:Z15" si="1">SUM(N5:Y5)</f>
        <v>249683112</v>
      </c>
    </row>
    <row r="6" spans="2:26" x14ac:dyDescent="0.25">
      <c r="E6" s="181" t="s">
        <v>192</v>
      </c>
      <c r="F6" s="182">
        <f>+P$16</f>
        <v>5041082.7303500008</v>
      </c>
      <c r="G6" s="182">
        <f>$C$16*H6</f>
        <v>4314603.5610502465</v>
      </c>
      <c r="H6" s="213">
        <f>Volume_2016!F$112</f>
        <v>28048459</v>
      </c>
      <c r="I6" s="213">
        <f>+Indices_2016!D12</f>
        <v>4610.92</v>
      </c>
      <c r="J6" s="182">
        <f t="shared" si="0"/>
        <v>752441.28478152666</v>
      </c>
      <c r="L6" s="200" t="s">
        <v>215</v>
      </c>
      <c r="M6" s="185" t="s">
        <v>195</v>
      </c>
      <c r="N6" s="216">
        <v>12744879</v>
      </c>
      <c r="O6" s="216">
        <v>11520231</v>
      </c>
      <c r="P6" s="216">
        <v>12931000</v>
      </c>
      <c r="Q6" s="216">
        <v>11221725</v>
      </c>
      <c r="R6" s="216">
        <v>10935384</v>
      </c>
      <c r="S6" s="216">
        <v>10303306</v>
      </c>
      <c r="T6" s="216">
        <v>10856620</v>
      </c>
      <c r="U6" s="216">
        <v>10816329</v>
      </c>
      <c r="V6" s="216">
        <v>10991880</v>
      </c>
      <c r="W6" s="216">
        <v>11196336</v>
      </c>
      <c r="X6" s="216">
        <v>11144828</v>
      </c>
      <c r="Y6" s="216">
        <v>11262785</v>
      </c>
      <c r="Z6" s="216">
        <f t="shared" si="1"/>
        <v>135925303</v>
      </c>
    </row>
    <row r="7" spans="2:26" x14ac:dyDescent="0.25">
      <c r="E7" s="181" t="s">
        <v>194</v>
      </c>
      <c r="F7" s="182">
        <f>+Q$16</f>
        <v>5065812.6607502773</v>
      </c>
      <c r="G7" s="182">
        <f>$C$16*H7</f>
        <v>4477434.5700727506</v>
      </c>
      <c r="H7" s="213">
        <f>Volume_2016!G$112</f>
        <v>29106994</v>
      </c>
      <c r="I7" s="213">
        <f>+Indices_2016!D13</f>
        <v>4639.05</v>
      </c>
      <c r="J7" s="182">
        <f t="shared" si="0"/>
        <v>605709.62754198909</v>
      </c>
      <c r="L7" s="200" t="s">
        <v>209</v>
      </c>
      <c r="M7" s="185" t="s">
        <v>195</v>
      </c>
      <c r="N7" s="216">
        <f>SUM(N5:N6)</f>
        <v>32474629</v>
      </c>
      <c r="O7" s="216">
        <f t="shared" ref="O7:Z7" si="2">SUM(O5:O6)</f>
        <v>31257739</v>
      </c>
      <c r="P7" s="216">
        <f t="shared" si="2"/>
        <v>33895558</v>
      </c>
      <c r="Q7" s="216">
        <f t="shared" si="2"/>
        <v>32400181</v>
      </c>
      <c r="R7" s="216">
        <f t="shared" si="2"/>
        <v>32387691</v>
      </c>
      <c r="S7" s="216">
        <f t="shared" si="2"/>
        <v>31191323</v>
      </c>
      <c r="T7" s="216">
        <f t="shared" si="2"/>
        <v>32445371</v>
      </c>
      <c r="U7" s="216">
        <f t="shared" si="2"/>
        <v>32642756</v>
      </c>
      <c r="V7" s="216">
        <f t="shared" si="2"/>
        <v>32620059</v>
      </c>
      <c r="W7" s="216">
        <f t="shared" si="2"/>
        <v>32312280</v>
      </c>
      <c r="X7" s="216">
        <f t="shared" si="2"/>
        <v>30651916</v>
      </c>
      <c r="Y7" s="216">
        <f t="shared" si="2"/>
        <v>31328912</v>
      </c>
      <c r="Z7" s="216">
        <f t="shared" si="2"/>
        <v>385608415</v>
      </c>
    </row>
    <row r="8" spans="2:26" x14ac:dyDescent="0.25">
      <c r="E8" s="181" t="s">
        <v>196</v>
      </c>
      <c r="F8" s="182">
        <f>+R$16</f>
        <v>5232584.871521147</v>
      </c>
      <c r="G8" s="182">
        <f>$C$16*H8</f>
        <v>4551885.7987811426</v>
      </c>
      <c r="H8" s="213">
        <f>Volume_2016!H$112</f>
        <v>29590988</v>
      </c>
      <c r="I8" s="213">
        <f>+Indices_2016!D14</f>
        <v>4675.2299999999996</v>
      </c>
      <c r="J8" s="182">
        <f t="shared" si="0"/>
        <v>695327.19495820289</v>
      </c>
      <c r="L8" s="201" t="s">
        <v>216</v>
      </c>
      <c r="M8" s="186" t="s">
        <v>195</v>
      </c>
      <c r="N8" s="216">
        <v>15482104</v>
      </c>
      <c r="O8" s="216">
        <v>14953833</v>
      </c>
      <c r="P8" s="216">
        <v>15218977</v>
      </c>
      <c r="Q8" s="216">
        <v>15882623</v>
      </c>
      <c r="R8" s="216">
        <v>16088718</v>
      </c>
      <c r="S8" s="216">
        <v>15990848</v>
      </c>
      <c r="T8" s="216">
        <v>15945546</v>
      </c>
      <c r="U8" s="216">
        <v>16199321</v>
      </c>
      <c r="V8" s="216">
        <v>16537075</v>
      </c>
      <c r="W8" s="216">
        <v>15767396</v>
      </c>
      <c r="X8" s="216">
        <v>14915993</v>
      </c>
      <c r="Y8" s="216">
        <v>14788430</v>
      </c>
      <c r="Z8" s="216">
        <f t="shared" si="1"/>
        <v>187770864</v>
      </c>
    </row>
    <row r="9" spans="2:26" x14ac:dyDescent="0.25">
      <c r="B9" s="363">
        <v>2016</v>
      </c>
      <c r="C9" s="363"/>
      <c r="E9" s="318" t="s">
        <v>197</v>
      </c>
      <c r="F9" s="319">
        <f>+S$16</f>
        <v>5231433.9496379755</v>
      </c>
      <c r="G9" s="319">
        <f>$C$13*H9</f>
        <v>4881249.4981166851</v>
      </c>
      <c r="H9" s="320">
        <f>Volume_2016!I$112</f>
        <v>29386814</v>
      </c>
      <c r="I9" s="320">
        <f>+Indices_2016!D15</f>
        <v>4691.59</v>
      </c>
      <c r="J9" s="319">
        <f t="shared" si="0"/>
        <v>356462.49675061693</v>
      </c>
      <c r="L9" s="201" t="s">
        <v>217</v>
      </c>
      <c r="M9" s="186" t="s">
        <v>195</v>
      </c>
      <c r="N9" s="216">
        <v>13083981</v>
      </c>
      <c r="O9" s="216">
        <v>12590574</v>
      </c>
      <c r="P9" s="216">
        <v>12829482</v>
      </c>
      <c r="Q9" s="216">
        <v>13224371</v>
      </c>
      <c r="R9" s="216">
        <v>13502270</v>
      </c>
      <c r="S9" s="216">
        <v>13395966</v>
      </c>
      <c r="T9" s="216">
        <v>13319761</v>
      </c>
      <c r="U9" s="216">
        <v>13512913</v>
      </c>
      <c r="V9" s="216">
        <v>13753374</v>
      </c>
      <c r="W9" s="216">
        <v>13156710</v>
      </c>
      <c r="X9" s="216">
        <v>12503380</v>
      </c>
      <c r="Y9" s="216">
        <v>12425717</v>
      </c>
      <c r="Z9" s="216">
        <f t="shared" si="1"/>
        <v>157298499</v>
      </c>
    </row>
    <row r="10" spans="2:26" ht="18" x14ac:dyDescent="0.35">
      <c r="B10" s="187" t="s">
        <v>199</v>
      </c>
      <c r="C10" s="188">
        <f>C11/C12</f>
        <v>1.9544595343739427E-2</v>
      </c>
      <c r="E10" s="318" t="s">
        <v>198</v>
      </c>
      <c r="F10" s="319">
        <f>+T$16</f>
        <v>5660695.5933147892</v>
      </c>
      <c r="G10" s="319">
        <f t="shared" ref="G10:G15" si="3">$C$13*H10</f>
        <v>4861066.7732126629</v>
      </c>
      <c r="H10" s="320">
        <f>Volume_2016!J$112</f>
        <v>29265307</v>
      </c>
      <c r="I10" s="320">
        <f>+Indices_2016!D16</f>
        <v>4715.99</v>
      </c>
      <c r="J10" s="319">
        <f t="shared" si="0"/>
        <v>809753.06482026563</v>
      </c>
      <c r="L10" s="201" t="s">
        <v>202</v>
      </c>
      <c r="M10" s="185" t="s">
        <v>195</v>
      </c>
      <c r="N10" s="216">
        <f>SUM(N8:N9)</f>
        <v>28566085</v>
      </c>
      <c r="O10" s="216">
        <f>SUM(O8:O9)</f>
        <v>27544407</v>
      </c>
      <c r="P10" s="216">
        <f t="shared" ref="P10:Z10" si="4">P8+P9</f>
        <v>28048459</v>
      </c>
      <c r="Q10" s="216">
        <f t="shared" si="4"/>
        <v>29106994</v>
      </c>
      <c r="R10" s="216">
        <f t="shared" si="4"/>
        <v>29590988</v>
      </c>
      <c r="S10" s="216">
        <f t="shared" si="4"/>
        <v>29386814</v>
      </c>
      <c r="T10" s="216">
        <f t="shared" si="4"/>
        <v>29265307</v>
      </c>
      <c r="U10" s="216">
        <f t="shared" si="4"/>
        <v>29712234</v>
      </c>
      <c r="V10" s="216">
        <f t="shared" si="4"/>
        <v>30290449</v>
      </c>
      <c r="W10" s="216">
        <f t="shared" si="4"/>
        <v>28924106</v>
      </c>
      <c r="X10" s="216">
        <f t="shared" si="4"/>
        <v>27419373</v>
      </c>
      <c r="Y10" s="216">
        <f t="shared" si="4"/>
        <v>27214147</v>
      </c>
      <c r="Z10" s="216">
        <f t="shared" si="4"/>
        <v>345069363</v>
      </c>
    </row>
    <row r="11" spans="2:26" x14ac:dyDescent="0.25">
      <c r="B11" s="189" t="s">
        <v>176</v>
      </c>
      <c r="C11" s="190">
        <f>+J16</f>
        <v>6744241.0653569307</v>
      </c>
      <c r="E11" s="318" t="s">
        <v>200</v>
      </c>
      <c r="F11" s="319">
        <f>U$16</f>
        <v>5590047.9523208262</v>
      </c>
      <c r="G11" s="319">
        <f t="shared" si="3"/>
        <v>4935302.8640813362</v>
      </c>
      <c r="H11" s="320">
        <f>Volume_2016!K$112</f>
        <v>29712234</v>
      </c>
      <c r="I11" s="320">
        <f>+Indices_2016!D17</f>
        <v>4736.74</v>
      </c>
      <c r="J11" s="319">
        <f t="shared" si="0"/>
        <v>660130.40992440644</v>
      </c>
      <c r="L11" s="191" t="s">
        <v>204</v>
      </c>
      <c r="M11" s="194" t="s">
        <v>205</v>
      </c>
      <c r="N11" s="217">
        <f t="shared" ref="N11:Z11" si="5">N4/N10</f>
        <v>4.3929023245572507</v>
      </c>
      <c r="O11" s="217">
        <f t="shared" si="5"/>
        <v>4.3694444055375739</v>
      </c>
      <c r="P11" s="217">
        <f t="shared" si="5"/>
        <v>4.4695460542056873</v>
      </c>
      <c r="Q11" s="217">
        <f t="shared" si="5"/>
        <v>4.6007902478696359</v>
      </c>
      <c r="R11" s="217">
        <f t="shared" si="5"/>
        <v>4.7327918527086688</v>
      </c>
      <c r="S11" s="217">
        <f t="shared" si="5"/>
        <v>4.8725637120784846</v>
      </c>
      <c r="T11" s="217">
        <f t="shared" si="5"/>
        <v>5.1284295104097151</v>
      </c>
      <c r="U11" s="217">
        <f t="shared" si="5"/>
        <v>5.0216420606407448</v>
      </c>
      <c r="V11" s="217">
        <f t="shared" si="5"/>
        <v>5.0518364531341211</v>
      </c>
      <c r="W11" s="217">
        <f t="shared" si="5"/>
        <v>4.83420539566547</v>
      </c>
      <c r="X11" s="217">
        <f t="shared" si="5"/>
        <v>4.8166573159787429</v>
      </c>
      <c r="Y11" s="217">
        <f t="shared" si="5"/>
        <v>4.6969957485715064</v>
      </c>
      <c r="Z11" s="217">
        <f t="shared" si="5"/>
        <v>4.753795335229456</v>
      </c>
    </row>
    <row r="12" spans="2:26" x14ac:dyDescent="0.25">
      <c r="B12" s="189" t="s">
        <v>174</v>
      </c>
      <c r="C12" s="190">
        <f>+H16</f>
        <v>345069363</v>
      </c>
      <c r="E12" s="318" t="s">
        <v>201</v>
      </c>
      <c r="F12" s="319">
        <f>V$16</f>
        <v>5650004.0233896449</v>
      </c>
      <c r="G12" s="319">
        <f t="shared" si="3"/>
        <v>5031346.3371353922</v>
      </c>
      <c r="H12" s="320">
        <f>Volume_2016!L$112</f>
        <v>30290449</v>
      </c>
      <c r="I12" s="320">
        <f>+Indices_2016!D18</f>
        <v>4740.53</v>
      </c>
      <c r="J12" s="319">
        <f t="shared" si="0"/>
        <v>623247.50866346899</v>
      </c>
      <c r="L12" s="202" t="s">
        <v>210</v>
      </c>
      <c r="M12" s="184" t="s">
        <v>86</v>
      </c>
      <c r="N12" s="218">
        <f>N4</f>
        <v>125488021.2</v>
      </c>
      <c r="O12" s="218">
        <f t="shared" ref="O12:X12" si="6">O4</f>
        <v>120353755.06999999</v>
      </c>
      <c r="P12" s="218">
        <f t="shared" si="6"/>
        <v>125363879.25</v>
      </c>
      <c r="Q12" s="218">
        <f t="shared" si="6"/>
        <v>133915174.14</v>
      </c>
      <c r="R12" s="218">
        <f t="shared" si="6"/>
        <v>140047986.91999999</v>
      </c>
      <c r="S12" s="218">
        <f t="shared" si="6"/>
        <v>143189123.50999999</v>
      </c>
      <c r="T12" s="218">
        <f t="shared" si="6"/>
        <v>150085064.05000001</v>
      </c>
      <c r="U12" s="218">
        <f t="shared" si="6"/>
        <v>149204203.97</v>
      </c>
      <c r="V12" s="218">
        <f t="shared" si="6"/>
        <v>153022394.44</v>
      </c>
      <c r="W12" s="218">
        <f t="shared" si="6"/>
        <v>139825069.28999999</v>
      </c>
      <c r="X12" s="218">
        <f t="shared" si="6"/>
        <v>132069723.56</v>
      </c>
      <c r="Y12" s="218">
        <f>Y4</f>
        <v>127824732.76000001</v>
      </c>
      <c r="Z12" s="218">
        <f t="shared" si="1"/>
        <v>1640389128.1599998</v>
      </c>
    </row>
    <row r="13" spans="2:26" ht="18" x14ac:dyDescent="0.35">
      <c r="B13" s="189" t="s">
        <v>206</v>
      </c>
      <c r="C13" s="224">
        <f>+'IRT 2017'!D19</f>
        <v>0.1661033924302473</v>
      </c>
      <c r="E13" s="318" t="s">
        <v>203</v>
      </c>
      <c r="F13" s="319">
        <f>W$16</f>
        <v>5303355.6509563364</v>
      </c>
      <c r="G13" s="319">
        <f t="shared" si="3"/>
        <v>4804392.1296120705</v>
      </c>
      <c r="H13" s="320">
        <f>Volume_2016!M$112</f>
        <v>28924106</v>
      </c>
      <c r="I13" s="320">
        <f>+Indices_2016!D19</f>
        <v>4752.8599999999997</v>
      </c>
      <c r="J13" s="319">
        <f t="shared" si="0"/>
        <v>501361.30432703905</v>
      </c>
      <c r="L13" s="202" t="s">
        <v>211</v>
      </c>
      <c r="M13" s="184" t="s">
        <v>86</v>
      </c>
      <c r="N13" s="218">
        <f>N7*N11</f>
        <v>142657873.2232343</v>
      </c>
      <c r="O13" s="218">
        <f t="shared" ref="O13:X13" si="7">O7*O11</f>
        <v>136578952.80330363</v>
      </c>
      <c r="P13" s="218">
        <f t="shared" si="7"/>
        <v>151497757.51400003</v>
      </c>
      <c r="Q13" s="218">
        <f t="shared" si="7"/>
        <v>149066436.77401108</v>
      </c>
      <c r="R13" s="218">
        <f t="shared" si="7"/>
        <v>153284200.09284589</v>
      </c>
      <c r="S13" s="218">
        <f t="shared" si="7"/>
        <v>151981708.58151901</v>
      </c>
      <c r="T13" s="218">
        <f t="shared" si="7"/>
        <v>166393798.11259156</v>
      </c>
      <c r="U13" s="218">
        <f t="shared" si="7"/>
        <v>163920236.50483304</v>
      </c>
      <c r="V13" s="218">
        <f t="shared" si="7"/>
        <v>164791203.15958577</v>
      </c>
      <c r="W13" s="218">
        <f t="shared" si="7"/>
        <v>156204198.32225347</v>
      </c>
      <c r="X13" s="218">
        <f t="shared" si="7"/>
        <v>147639775.4501659</v>
      </c>
      <c r="Y13" s="218">
        <f>Y7*Y11</f>
        <v>147151766.47137085</v>
      </c>
      <c r="Z13" s="218">
        <f t="shared" si="1"/>
        <v>1831167907.0097146</v>
      </c>
    </row>
    <row r="14" spans="2:26" x14ac:dyDescent="0.25">
      <c r="E14" s="318" t="s">
        <v>207</v>
      </c>
      <c r="F14" s="319">
        <f>X$16</f>
        <v>5011691.6218541479</v>
      </c>
      <c r="G14" s="319">
        <f t="shared" si="3"/>
        <v>4554450.873610327</v>
      </c>
      <c r="H14" s="320">
        <f>Volume_2016!N$112</f>
        <v>27419373</v>
      </c>
      <c r="I14" s="320">
        <f>+Indices_2016!D20</f>
        <v>4761.42</v>
      </c>
      <c r="J14" s="319">
        <f t="shared" si="0"/>
        <v>458612.06139933364</v>
      </c>
      <c r="L14" s="198" t="s">
        <v>212</v>
      </c>
      <c r="M14" s="203" t="s">
        <v>86</v>
      </c>
      <c r="N14" s="219">
        <f t="shared" ref="N14:X14" si="8">(N7*N11)*2.5%</f>
        <v>3566446.8305808576</v>
      </c>
      <c r="O14" s="219">
        <f t="shared" si="8"/>
        <v>3414473.8200825909</v>
      </c>
      <c r="P14" s="219">
        <f t="shared" si="8"/>
        <v>3787443.9378500008</v>
      </c>
      <c r="Q14" s="219">
        <f t="shared" si="8"/>
        <v>3726660.9193502772</v>
      </c>
      <c r="R14" s="219">
        <f t="shared" si="8"/>
        <v>3832105.0023211474</v>
      </c>
      <c r="S14" s="219">
        <f t="shared" si="8"/>
        <v>3799542.7145379754</v>
      </c>
      <c r="T14" s="219">
        <f t="shared" si="8"/>
        <v>4159844.9528147895</v>
      </c>
      <c r="U14" s="219">
        <f t="shared" si="8"/>
        <v>4098005.9126208262</v>
      </c>
      <c r="V14" s="219">
        <f t="shared" si="8"/>
        <v>4119780.0789896445</v>
      </c>
      <c r="W14" s="219">
        <f t="shared" si="8"/>
        <v>3905104.9580563367</v>
      </c>
      <c r="X14" s="219">
        <f t="shared" si="8"/>
        <v>3690994.3862541476</v>
      </c>
      <c r="Y14" s="219">
        <f>(Y7*Y11)*2.5%</f>
        <v>3678794.1617842712</v>
      </c>
      <c r="Z14" s="220">
        <f t="shared" si="1"/>
        <v>45779197.675242864</v>
      </c>
    </row>
    <row r="15" spans="2:26" x14ac:dyDescent="0.25">
      <c r="B15" s="363">
        <v>2015</v>
      </c>
      <c r="C15" s="363"/>
      <c r="E15" s="318" t="s">
        <v>208</v>
      </c>
      <c r="F15" s="319">
        <f>Y$16</f>
        <v>4957041.4893842712</v>
      </c>
      <c r="G15" s="319">
        <f t="shared" si="3"/>
        <v>4520362.1387954373</v>
      </c>
      <c r="H15" s="320">
        <f>Volume_2016!O$112</f>
        <v>27214147</v>
      </c>
      <c r="I15" s="320">
        <f>+Indices_2016!D21</f>
        <v>4775.7</v>
      </c>
      <c r="J15" s="319">
        <f t="shared" si="0"/>
        <v>436679.35058883391</v>
      </c>
      <c r="L15" s="204" t="s">
        <v>213</v>
      </c>
      <c r="M15" s="205" t="s">
        <v>86</v>
      </c>
      <c r="N15" s="221">
        <f t="shared" ref="N15:S15" si="9">(N10*N11)*1%</f>
        <v>1254880.2120000003</v>
      </c>
      <c r="O15" s="221">
        <f t="shared" si="9"/>
        <v>1203537.5507</v>
      </c>
      <c r="P15" s="221">
        <f t="shared" si="9"/>
        <v>1253638.7925</v>
      </c>
      <c r="Q15" s="221">
        <f t="shared" si="9"/>
        <v>1339151.7413999999</v>
      </c>
      <c r="R15" s="221">
        <f t="shared" si="9"/>
        <v>1400479.8691999998</v>
      </c>
      <c r="S15" s="221">
        <f t="shared" si="9"/>
        <v>1431891.2350999999</v>
      </c>
      <c r="T15" s="221">
        <f t="shared" ref="T15:Y15" si="10">(T10*T11)*1%</f>
        <v>1500850.6405000002</v>
      </c>
      <c r="U15" s="221">
        <f t="shared" si="10"/>
        <v>1492042.0397000001</v>
      </c>
      <c r="V15" s="221">
        <f t="shared" si="10"/>
        <v>1530223.9443999999</v>
      </c>
      <c r="W15" s="221">
        <f t="shared" si="10"/>
        <v>1398250.6928999999</v>
      </c>
      <c r="X15" s="221">
        <f t="shared" si="10"/>
        <v>1320697.2356000002</v>
      </c>
      <c r="Y15" s="221">
        <f t="shared" si="10"/>
        <v>1278247.3276000002</v>
      </c>
      <c r="Z15" s="222">
        <f t="shared" si="1"/>
        <v>16403891.2816</v>
      </c>
    </row>
    <row r="16" spans="2:26" ht="18" x14ac:dyDescent="0.35">
      <c r="B16" s="189" t="s">
        <v>206</v>
      </c>
      <c r="C16" s="224">
        <f>C13/(1+'2ª RTP - Reposic Tarifário'!C69)</f>
        <v>0.15382675964659046</v>
      </c>
      <c r="E16" s="192" t="s">
        <v>191</v>
      </c>
      <c r="F16" s="197">
        <f>SUM(F4:F15)</f>
        <v>62183088.95684287</v>
      </c>
      <c r="G16" s="197">
        <f>SUM(G4:G15)</f>
        <v>55563389.711003989</v>
      </c>
      <c r="H16" s="197">
        <f>SUM(H4:H15)</f>
        <v>345069363</v>
      </c>
      <c r="I16" s="197"/>
      <c r="J16" s="197">
        <f>SUM(J4:J15)</f>
        <v>6744241.0653569307</v>
      </c>
      <c r="L16" s="362" t="s">
        <v>23</v>
      </c>
      <c r="M16" s="362"/>
      <c r="N16" s="223">
        <f>+N15+N14</f>
        <v>4821327.0425808579</v>
      </c>
      <c r="O16" s="223">
        <f t="shared" ref="O16:X16" si="11">+O15+O14</f>
        <v>4618011.3707825914</v>
      </c>
      <c r="P16" s="223">
        <f t="shared" si="11"/>
        <v>5041082.7303500008</v>
      </c>
      <c r="Q16" s="223">
        <f t="shared" si="11"/>
        <v>5065812.6607502773</v>
      </c>
      <c r="R16" s="223">
        <f t="shared" si="11"/>
        <v>5232584.871521147</v>
      </c>
      <c r="S16" s="223">
        <f t="shared" si="11"/>
        <v>5231433.9496379755</v>
      </c>
      <c r="T16" s="223">
        <f t="shared" si="11"/>
        <v>5660695.5933147892</v>
      </c>
      <c r="U16" s="223">
        <f t="shared" si="11"/>
        <v>5590047.9523208262</v>
      </c>
      <c r="V16" s="223">
        <f t="shared" si="11"/>
        <v>5650004.0233896449</v>
      </c>
      <c r="W16" s="223">
        <f t="shared" si="11"/>
        <v>5303355.6509563364</v>
      </c>
      <c r="X16" s="223">
        <f t="shared" si="11"/>
        <v>5011691.6218541479</v>
      </c>
      <c r="Y16" s="223">
        <f>+Y15+Y14</f>
        <v>4957041.4893842712</v>
      </c>
      <c r="Z16" s="223">
        <f>+Z15+Z14</f>
        <v>62183088.956842862</v>
      </c>
    </row>
    <row r="17" spans="3:26" x14ac:dyDescent="0.25">
      <c r="L17" s="195"/>
      <c r="M17" s="195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</row>
    <row r="18" spans="3:26" ht="18" x14ac:dyDescent="0.35">
      <c r="C18" s="316"/>
      <c r="E18" s="317" t="s">
        <v>336</v>
      </c>
    </row>
    <row r="19" spans="3:26" ht="18" x14ac:dyDescent="0.35">
      <c r="E19" s="317" t="s">
        <v>337</v>
      </c>
    </row>
    <row r="23" spans="3:26" x14ac:dyDescent="0.25">
      <c r="F23" s="75"/>
    </row>
  </sheetData>
  <mergeCells count="7">
    <mergeCell ref="N2:Z2"/>
    <mergeCell ref="L16:M16"/>
    <mergeCell ref="B9:C9"/>
    <mergeCell ref="E2:J2"/>
    <mergeCell ref="L2:L3"/>
    <mergeCell ref="M2:M3"/>
    <mergeCell ref="B15:C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6:G32"/>
  <sheetViews>
    <sheetView showGridLines="0" workbookViewId="0"/>
  </sheetViews>
  <sheetFormatPr defaultRowHeight="15" x14ac:dyDescent="0.25"/>
  <cols>
    <col min="2" max="2" width="40.140625" bestFit="1" customWidth="1"/>
    <col min="3" max="3" width="32" bestFit="1" customWidth="1"/>
    <col min="4" max="4" width="14" bestFit="1" customWidth="1"/>
    <col min="5" max="5" width="23.140625" customWidth="1"/>
    <col min="6" max="6" width="26.85546875" customWidth="1"/>
    <col min="7" max="7" width="14.140625" bestFit="1" customWidth="1"/>
    <col min="8" max="8" width="29.42578125" bestFit="1" customWidth="1"/>
    <col min="9" max="9" width="13.140625" bestFit="1" customWidth="1"/>
    <col min="10" max="10" width="14.140625" bestFit="1" customWidth="1"/>
  </cols>
  <sheetData>
    <row r="6" spans="2:7" x14ac:dyDescent="0.25">
      <c r="B6" s="341" t="s">
        <v>340</v>
      </c>
      <c r="C6" s="341"/>
    </row>
    <row r="7" spans="2:7" x14ac:dyDescent="0.25">
      <c r="B7" s="324" t="s">
        <v>339</v>
      </c>
      <c r="C7" s="326">
        <v>3401706.5649962085</v>
      </c>
    </row>
    <row r="9" spans="2:7" x14ac:dyDescent="0.25">
      <c r="B9" s="341" t="s">
        <v>341</v>
      </c>
      <c r="C9" s="341"/>
    </row>
    <row r="10" spans="2:7" x14ac:dyDescent="0.25">
      <c r="B10" s="324" t="s">
        <v>345</v>
      </c>
      <c r="C10" s="326">
        <f>C7*(1+Indices_2016!D22)</f>
        <v>3615605.4728515483</v>
      </c>
    </row>
    <row r="11" spans="2:7" s="235" customFormat="1" x14ac:dyDescent="0.25">
      <c r="B11" s="324" t="s">
        <v>344</v>
      </c>
      <c r="C11" s="326">
        <v>357767.03</v>
      </c>
      <c r="E11" s="327"/>
      <c r="F11" s="327"/>
      <c r="G11" s="328"/>
    </row>
    <row r="12" spans="2:7" s="235" customFormat="1" x14ac:dyDescent="0.25">
      <c r="B12" s="329" t="s">
        <v>347</v>
      </c>
      <c r="C12" s="330">
        <f>SUM(C10:C11)</f>
        <v>3973372.5028515486</v>
      </c>
      <c r="E12" s="327"/>
      <c r="F12" s="327"/>
      <c r="G12" s="328"/>
    </row>
    <row r="13" spans="2:7" x14ac:dyDescent="0.25">
      <c r="B13" s="329" t="s">
        <v>346</v>
      </c>
      <c r="C13" s="331">
        <f>C12/D32</f>
        <v>1.151470669058368E-2</v>
      </c>
    </row>
    <row r="15" spans="2:7" x14ac:dyDescent="0.25">
      <c r="B15" s="341" t="s">
        <v>343</v>
      </c>
      <c r="C15" s="341"/>
      <c r="D15" s="341"/>
    </row>
    <row r="16" spans="2:7" s="235" customFormat="1" x14ac:dyDescent="0.25">
      <c r="B16" s="369" t="s">
        <v>349</v>
      </c>
      <c r="C16" s="324" t="s">
        <v>354</v>
      </c>
      <c r="D16" s="326">
        <v>1005410.94</v>
      </c>
    </row>
    <row r="17" spans="2:4" s="235" customFormat="1" x14ac:dyDescent="0.25">
      <c r="B17" s="370"/>
      <c r="C17" s="324" t="s">
        <v>355</v>
      </c>
      <c r="D17" s="326">
        <v>132689.34</v>
      </c>
    </row>
    <row r="18" spans="2:4" s="235" customFormat="1" x14ac:dyDescent="0.25">
      <c r="B18" s="370"/>
      <c r="C18" s="324" t="s">
        <v>356</v>
      </c>
      <c r="D18" s="326">
        <v>500561.34</v>
      </c>
    </row>
    <row r="19" spans="2:4" s="235" customFormat="1" x14ac:dyDescent="0.25">
      <c r="B19" s="370"/>
      <c r="C19" s="324" t="s">
        <v>357</v>
      </c>
      <c r="D19" s="326">
        <v>254605.2</v>
      </c>
    </row>
    <row r="20" spans="2:4" s="235" customFormat="1" x14ac:dyDescent="0.25">
      <c r="B20" s="371"/>
      <c r="C20" s="329" t="s">
        <v>352</v>
      </c>
      <c r="D20" s="330">
        <f>SUM(D16:D19)</f>
        <v>1893266.82</v>
      </c>
    </row>
    <row r="21" spans="2:4" s="235" customFormat="1" x14ac:dyDescent="0.25">
      <c r="B21" s="332" t="s">
        <v>343</v>
      </c>
      <c r="C21" s="329" t="s">
        <v>353</v>
      </c>
      <c r="D21" s="330">
        <v>402920.62</v>
      </c>
    </row>
    <row r="22" spans="2:4" s="235" customFormat="1" x14ac:dyDescent="0.25">
      <c r="B22" s="372" t="s">
        <v>348</v>
      </c>
      <c r="C22" s="373"/>
      <c r="D22" s="330">
        <v>256737.15</v>
      </c>
    </row>
    <row r="23" spans="2:4" x14ac:dyDescent="0.25">
      <c r="B23" s="372" t="s">
        <v>23</v>
      </c>
      <c r="C23" s="373"/>
      <c r="D23" s="330">
        <f>SUM(D20:D22)</f>
        <v>2552924.59</v>
      </c>
    </row>
    <row r="24" spans="2:4" s="235" customFormat="1" x14ac:dyDescent="0.25">
      <c r="B24" s="372" t="s">
        <v>358</v>
      </c>
      <c r="C24" s="373"/>
      <c r="D24" s="330">
        <v>-387838.57</v>
      </c>
    </row>
    <row r="25" spans="2:4" s="235" customFormat="1" x14ac:dyDescent="0.25">
      <c r="B25" s="372" t="s">
        <v>359</v>
      </c>
      <c r="C25" s="373"/>
      <c r="D25" s="330">
        <f>SUM(D23:D24)</f>
        <v>2165086.02</v>
      </c>
    </row>
    <row r="26" spans="2:4" x14ac:dyDescent="0.25">
      <c r="B26" s="329" t="s">
        <v>350</v>
      </c>
      <c r="C26" s="329"/>
      <c r="D26" s="331">
        <f>+D25/D32</f>
        <v>6.274350180430246E-3</v>
      </c>
    </row>
    <row r="28" spans="2:4" x14ac:dyDescent="0.25">
      <c r="B28" s="368" t="s">
        <v>327</v>
      </c>
      <c r="C28" s="368"/>
      <c r="D28" s="312" t="s">
        <v>325</v>
      </c>
    </row>
    <row r="29" spans="2:4" x14ac:dyDescent="0.25">
      <c r="B29" s="366" t="s">
        <v>326</v>
      </c>
      <c r="C29" s="367"/>
      <c r="D29" s="325">
        <f>+'IRT 2017'!H25</f>
        <v>340390849</v>
      </c>
    </row>
    <row r="31" spans="2:4" x14ac:dyDescent="0.25">
      <c r="B31" s="341" t="s">
        <v>342</v>
      </c>
      <c r="C31" s="341"/>
      <c r="D31" s="312" t="s">
        <v>338</v>
      </c>
    </row>
    <row r="32" spans="2:4" x14ac:dyDescent="0.25">
      <c r="B32" s="366" t="s">
        <v>326</v>
      </c>
      <c r="C32" s="367"/>
      <c r="D32" s="325">
        <f>'IRT 2017'!H35</f>
        <v>345069363</v>
      </c>
    </row>
  </sheetData>
  <mergeCells count="12">
    <mergeCell ref="B32:C32"/>
    <mergeCell ref="B15:D15"/>
    <mergeCell ref="B28:C28"/>
    <mergeCell ref="B29:C29"/>
    <mergeCell ref="B6:C6"/>
    <mergeCell ref="B9:C9"/>
    <mergeCell ref="B31:C31"/>
    <mergeCell ref="B16:B20"/>
    <mergeCell ref="B22:C22"/>
    <mergeCell ref="B24:C24"/>
    <mergeCell ref="B23:C23"/>
    <mergeCell ref="B25:C25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  <pageSetUpPr fitToPage="1"/>
  </sheetPr>
  <dimension ref="A1:ZH144"/>
  <sheetViews>
    <sheetView showGridLines="0" zoomScale="80" zoomScaleNormal="80" workbookViewId="0"/>
  </sheetViews>
  <sheetFormatPr defaultColWidth="9.140625" defaultRowHeight="15" outlineLevelRow="1" x14ac:dyDescent="0.25"/>
  <cols>
    <col min="1" max="1" width="1.7109375" style="239" customWidth="1"/>
    <col min="2" max="2" width="60.140625" style="239" customWidth="1"/>
    <col min="3" max="3" width="41.7109375" style="239" customWidth="1"/>
    <col min="4" max="4" width="1.7109375" style="235" hidden="1" customWidth="1"/>
    <col min="5" max="5" width="26" style="240" hidden="1" customWidth="1"/>
    <col min="6" max="6" width="14.28515625" style="240" hidden="1" customWidth="1"/>
    <col min="7" max="8" width="20.7109375" style="240" hidden="1" customWidth="1"/>
    <col min="9" max="9" width="9.140625" style="240" hidden="1" customWidth="1"/>
    <col min="10" max="10" width="23.140625" style="240" hidden="1" customWidth="1"/>
    <col min="11" max="18" width="0" style="239" hidden="1" customWidth="1"/>
    <col min="19" max="16384" width="9.140625" style="239"/>
  </cols>
  <sheetData>
    <row r="1" spans="1:684" ht="9.9499999999999993" customHeight="1" x14ac:dyDescent="0.25">
      <c r="E1" s="239"/>
    </row>
    <row r="2" spans="1:684" s="244" customFormat="1" ht="24.95" customHeight="1" x14ac:dyDescent="0.25">
      <c r="A2" s="241"/>
      <c r="B2" s="242" t="s">
        <v>274</v>
      </c>
      <c r="C2" s="243"/>
      <c r="E2" s="245"/>
      <c r="F2" s="246"/>
      <c r="G2" s="246"/>
      <c r="H2" s="246"/>
      <c r="I2" s="246"/>
      <c r="J2" s="246"/>
      <c r="K2" s="247"/>
      <c r="L2" s="247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48"/>
      <c r="DT2" s="248"/>
      <c r="DU2" s="248"/>
      <c r="DV2" s="248"/>
      <c r="DW2" s="248"/>
      <c r="DX2" s="248"/>
      <c r="DY2" s="248"/>
      <c r="DZ2" s="248"/>
      <c r="EA2" s="248"/>
      <c r="EB2" s="248"/>
      <c r="EC2" s="248"/>
      <c r="ED2" s="248"/>
      <c r="EE2" s="248"/>
      <c r="EF2" s="248"/>
      <c r="EG2" s="248"/>
      <c r="EH2" s="248"/>
      <c r="EI2" s="248"/>
      <c r="EJ2" s="248"/>
      <c r="EK2" s="248"/>
      <c r="EL2" s="248"/>
      <c r="EM2" s="248"/>
      <c r="EN2" s="248"/>
      <c r="EO2" s="248"/>
      <c r="EP2" s="248"/>
      <c r="EQ2" s="248"/>
      <c r="ER2" s="248"/>
      <c r="ES2" s="248"/>
      <c r="ET2" s="248"/>
      <c r="EU2" s="248"/>
      <c r="EV2" s="248"/>
      <c r="EW2" s="248"/>
      <c r="EX2" s="248"/>
      <c r="EY2" s="248"/>
      <c r="EZ2" s="248"/>
      <c r="FA2" s="248"/>
      <c r="FB2" s="248"/>
      <c r="FC2" s="248"/>
      <c r="FD2" s="248"/>
      <c r="FE2" s="248"/>
      <c r="FF2" s="248"/>
      <c r="FG2" s="248"/>
      <c r="FH2" s="248"/>
      <c r="FI2" s="248"/>
      <c r="FJ2" s="248"/>
      <c r="FK2" s="248"/>
      <c r="FL2" s="248"/>
      <c r="FM2" s="248"/>
      <c r="FN2" s="248"/>
      <c r="FO2" s="248"/>
      <c r="FP2" s="248"/>
      <c r="FQ2" s="248"/>
      <c r="FR2" s="248"/>
      <c r="FS2" s="248"/>
      <c r="FT2" s="248"/>
      <c r="FU2" s="248"/>
      <c r="FV2" s="248"/>
      <c r="FW2" s="248"/>
      <c r="FX2" s="248"/>
      <c r="FY2" s="248"/>
      <c r="FZ2" s="248"/>
      <c r="GA2" s="248"/>
      <c r="GB2" s="248"/>
      <c r="GC2" s="248"/>
      <c r="GD2" s="248"/>
      <c r="GE2" s="248"/>
      <c r="GF2" s="248"/>
      <c r="GG2" s="248"/>
      <c r="GH2" s="248"/>
      <c r="GI2" s="248"/>
      <c r="GJ2" s="248"/>
      <c r="GK2" s="248"/>
      <c r="GL2" s="248"/>
      <c r="GM2" s="248"/>
      <c r="GN2" s="248"/>
      <c r="GO2" s="248"/>
      <c r="GP2" s="248"/>
      <c r="GQ2" s="248"/>
      <c r="GR2" s="248"/>
      <c r="GS2" s="248"/>
      <c r="GT2" s="248"/>
      <c r="GU2" s="248"/>
      <c r="GV2" s="248"/>
      <c r="GW2" s="248"/>
      <c r="GX2" s="248"/>
      <c r="GY2" s="248"/>
      <c r="GZ2" s="248"/>
      <c r="HA2" s="248"/>
      <c r="HB2" s="248"/>
      <c r="HC2" s="248"/>
      <c r="HD2" s="248"/>
      <c r="HE2" s="248"/>
      <c r="HF2" s="248"/>
      <c r="HG2" s="248"/>
      <c r="HH2" s="248"/>
      <c r="HI2" s="248"/>
      <c r="HJ2" s="248"/>
      <c r="HK2" s="248"/>
      <c r="HL2" s="248"/>
      <c r="HM2" s="248"/>
      <c r="HN2" s="248"/>
      <c r="HO2" s="248"/>
      <c r="HP2" s="248"/>
      <c r="HQ2" s="248"/>
      <c r="HR2" s="248"/>
      <c r="HS2" s="248"/>
      <c r="HT2" s="248"/>
      <c r="HU2" s="248"/>
      <c r="HV2" s="248"/>
      <c r="HW2" s="248"/>
      <c r="HX2" s="248"/>
      <c r="HY2" s="248"/>
      <c r="HZ2" s="248"/>
      <c r="IA2" s="248"/>
      <c r="IB2" s="248"/>
      <c r="IC2" s="248"/>
      <c r="ID2" s="248"/>
      <c r="IE2" s="248"/>
      <c r="IF2" s="248"/>
      <c r="IG2" s="248"/>
      <c r="IH2" s="248"/>
      <c r="II2" s="248"/>
      <c r="IJ2" s="248"/>
      <c r="IK2" s="248"/>
      <c r="IL2" s="248"/>
      <c r="IM2" s="248"/>
      <c r="IN2" s="248"/>
      <c r="IO2" s="248"/>
      <c r="IP2" s="248"/>
      <c r="IQ2" s="248"/>
      <c r="IR2" s="248"/>
      <c r="IS2" s="248"/>
      <c r="IT2" s="248"/>
      <c r="IU2" s="248"/>
      <c r="IV2" s="248"/>
      <c r="IW2" s="248"/>
      <c r="IX2" s="248"/>
      <c r="IY2" s="248"/>
      <c r="IZ2" s="248"/>
      <c r="JA2" s="248"/>
      <c r="JB2" s="248"/>
      <c r="JC2" s="248"/>
      <c r="JD2" s="248"/>
      <c r="JE2" s="248"/>
      <c r="JF2" s="248"/>
      <c r="JG2" s="248"/>
      <c r="JH2" s="248"/>
      <c r="JI2" s="248"/>
      <c r="JJ2" s="248"/>
      <c r="JK2" s="248"/>
      <c r="JL2" s="248"/>
      <c r="JM2" s="248"/>
      <c r="JN2" s="248"/>
      <c r="JO2" s="248"/>
      <c r="JP2" s="248"/>
      <c r="JQ2" s="248"/>
      <c r="JR2" s="248"/>
      <c r="JS2" s="248"/>
      <c r="JT2" s="248"/>
      <c r="JU2" s="248"/>
      <c r="JV2" s="248"/>
      <c r="JW2" s="248"/>
      <c r="JX2" s="248"/>
      <c r="JY2" s="248"/>
      <c r="JZ2" s="248"/>
      <c r="KA2" s="248"/>
      <c r="KB2" s="248"/>
      <c r="KC2" s="248"/>
      <c r="KD2" s="248"/>
      <c r="KE2" s="248"/>
      <c r="KF2" s="248"/>
      <c r="KG2" s="248"/>
      <c r="KH2" s="248"/>
      <c r="KI2" s="248"/>
      <c r="KJ2" s="248"/>
      <c r="KK2" s="248"/>
      <c r="KL2" s="248"/>
      <c r="KM2" s="248"/>
      <c r="KN2" s="248"/>
      <c r="KO2" s="248"/>
      <c r="KP2" s="248"/>
      <c r="KQ2" s="248"/>
      <c r="KR2" s="248"/>
      <c r="KS2" s="248"/>
      <c r="KT2" s="248"/>
      <c r="KU2" s="248"/>
      <c r="KV2" s="248"/>
      <c r="KW2" s="248"/>
      <c r="KX2" s="248"/>
      <c r="KY2" s="248"/>
      <c r="KZ2" s="248"/>
      <c r="LA2" s="248"/>
      <c r="LB2" s="248"/>
      <c r="LC2" s="248"/>
      <c r="LD2" s="248"/>
      <c r="LE2" s="248"/>
      <c r="LF2" s="248"/>
      <c r="LG2" s="248"/>
      <c r="LH2" s="248"/>
      <c r="LI2" s="248"/>
      <c r="LJ2" s="248"/>
      <c r="LK2" s="248"/>
      <c r="LL2" s="248"/>
      <c r="LM2" s="248"/>
      <c r="LN2" s="248"/>
      <c r="LO2" s="248"/>
      <c r="LP2" s="248"/>
      <c r="LQ2" s="248"/>
      <c r="LR2" s="248"/>
      <c r="LS2" s="248"/>
      <c r="LT2" s="248"/>
      <c r="LU2" s="248"/>
      <c r="LV2" s="248"/>
      <c r="LW2" s="248"/>
      <c r="LX2" s="248"/>
      <c r="LY2" s="248"/>
      <c r="LZ2" s="248"/>
      <c r="MA2" s="248"/>
      <c r="MB2" s="248"/>
      <c r="MC2" s="248"/>
      <c r="MD2" s="248"/>
      <c r="ME2" s="248"/>
      <c r="MF2" s="248"/>
      <c r="MG2" s="248"/>
      <c r="MH2" s="248"/>
      <c r="MI2" s="248"/>
      <c r="MJ2" s="248"/>
      <c r="MK2" s="248"/>
      <c r="ML2" s="248"/>
      <c r="MM2" s="248"/>
      <c r="MN2" s="248"/>
      <c r="MO2" s="248"/>
      <c r="MP2" s="248"/>
      <c r="MQ2" s="248"/>
      <c r="MR2" s="248"/>
      <c r="MS2" s="248"/>
      <c r="MT2" s="248"/>
      <c r="MU2" s="248"/>
      <c r="MV2" s="248"/>
      <c r="MW2" s="248"/>
      <c r="MX2" s="248"/>
      <c r="MY2" s="248"/>
      <c r="MZ2" s="248"/>
      <c r="NA2" s="248"/>
      <c r="NB2" s="248"/>
      <c r="NC2" s="248"/>
      <c r="ND2" s="248"/>
      <c r="NE2" s="248"/>
      <c r="NF2" s="248"/>
      <c r="NG2" s="248"/>
      <c r="NH2" s="248"/>
      <c r="NI2" s="248"/>
      <c r="NJ2" s="248"/>
      <c r="NK2" s="248"/>
      <c r="NL2" s="248"/>
      <c r="NM2" s="248"/>
      <c r="NN2" s="248"/>
      <c r="NO2" s="248"/>
      <c r="NP2" s="248"/>
      <c r="NQ2" s="248"/>
      <c r="NR2" s="248"/>
      <c r="NS2" s="248"/>
      <c r="NT2" s="248"/>
      <c r="NU2" s="248"/>
      <c r="NV2" s="248"/>
      <c r="NW2" s="248"/>
      <c r="NX2" s="248"/>
      <c r="NY2" s="248"/>
      <c r="NZ2" s="248"/>
      <c r="OA2" s="248"/>
      <c r="OB2" s="248"/>
      <c r="OC2" s="248"/>
      <c r="OD2" s="248"/>
      <c r="OE2" s="248"/>
      <c r="OF2" s="248"/>
      <c r="OG2" s="248"/>
      <c r="OH2" s="248"/>
      <c r="OI2" s="248"/>
      <c r="OJ2" s="248"/>
      <c r="OK2" s="248"/>
      <c r="OL2" s="248"/>
      <c r="OM2" s="248"/>
      <c r="ON2" s="248"/>
      <c r="OO2" s="248"/>
      <c r="OP2" s="248"/>
      <c r="OQ2" s="248"/>
      <c r="OR2" s="248"/>
      <c r="OS2" s="248"/>
      <c r="OT2" s="248"/>
      <c r="OU2" s="248"/>
      <c r="OV2" s="248"/>
      <c r="OW2" s="248"/>
      <c r="OX2" s="248"/>
      <c r="OY2" s="248"/>
      <c r="OZ2" s="248"/>
      <c r="PA2" s="248"/>
      <c r="PB2" s="248"/>
      <c r="PC2" s="248"/>
      <c r="PD2" s="248"/>
      <c r="PE2" s="248"/>
      <c r="PF2" s="248"/>
      <c r="PG2" s="248"/>
      <c r="PH2" s="248"/>
      <c r="PI2" s="248"/>
      <c r="PJ2" s="248"/>
      <c r="PK2" s="248"/>
      <c r="PL2" s="248"/>
      <c r="PM2" s="248"/>
      <c r="PN2" s="248"/>
      <c r="PO2" s="248"/>
      <c r="PP2" s="248"/>
      <c r="PQ2" s="248"/>
      <c r="PR2" s="248"/>
      <c r="PS2" s="248"/>
      <c r="PT2" s="248"/>
      <c r="PU2" s="248"/>
      <c r="PV2" s="248"/>
      <c r="PW2" s="248"/>
      <c r="PX2" s="248"/>
      <c r="PY2" s="248"/>
      <c r="PZ2" s="248"/>
      <c r="QA2" s="248"/>
      <c r="QB2" s="248"/>
      <c r="QC2" s="248"/>
      <c r="QD2" s="248"/>
      <c r="QE2" s="248"/>
      <c r="QF2" s="248"/>
      <c r="QG2" s="248"/>
      <c r="QH2" s="248"/>
      <c r="QI2" s="248"/>
      <c r="QJ2" s="248"/>
      <c r="QK2" s="248"/>
      <c r="QL2" s="248"/>
      <c r="QM2" s="248"/>
      <c r="QN2" s="248"/>
      <c r="QO2" s="248"/>
      <c r="QP2" s="248"/>
      <c r="QQ2" s="248"/>
      <c r="QR2" s="248"/>
      <c r="QS2" s="248"/>
      <c r="QT2" s="248"/>
      <c r="QU2" s="248"/>
      <c r="QV2" s="248"/>
      <c r="QW2" s="248"/>
      <c r="QX2" s="248"/>
      <c r="QY2" s="248"/>
      <c r="QZ2" s="248"/>
      <c r="RA2" s="248"/>
      <c r="RB2" s="248"/>
      <c r="RC2" s="248"/>
      <c r="RD2" s="248"/>
      <c r="RE2" s="248"/>
      <c r="RF2" s="248"/>
      <c r="RG2" s="248"/>
      <c r="RH2" s="248"/>
      <c r="RI2" s="248"/>
      <c r="RJ2" s="248"/>
      <c r="RK2" s="248"/>
      <c r="RL2" s="248"/>
      <c r="RM2" s="248"/>
      <c r="RN2" s="248"/>
      <c r="RO2" s="248"/>
      <c r="RP2" s="248"/>
      <c r="RQ2" s="248"/>
      <c r="RR2" s="248"/>
      <c r="RS2" s="248"/>
      <c r="RT2" s="248"/>
      <c r="RU2" s="248"/>
      <c r="RV2" s="248"/>
      <c r="RW2" s="248"/>
      <c r="RX2" s="248"/>
      <c r="RY2" s="248"/>
      <c r="RZ2" s="248"/>
      <c r="SA2" s="248"/>
      <c r="SB2" s="248"/>
      <c r="SC2" s="248"/>
      <c r="SD2" s="248"/>
      <c r="SE2" s="248"/>
      <c r="SF2" s="248"/>
      <c r="SG2" s="248"/>
      <c r="SH2" s="248"/>
      <c r="SI2" s="248"/>
      <c r="SJ2" s="248"/>
      <c r="SK2" s="248"/>
      <c r="SL2" s="248"/>
      <c r="SM2" s="248"/>
      <c r="SN2" s="248"/>
      <c r="SO2" s="248"/>
      <c r="SP2" s="248"/>
      <c r="SQ2" s="248"/>
      <c r="SR2" s="248"/>
      <c r="SS2" s="248"/>
      <c r="ST2" s="248"/>
      <c r="SU2" s="248"/>
      <c r="SV2" s="248"/>
      <c r="SW2" s="248"/>
      <c r="SX2" s="248"/>
      <c r="SY2" s="248"/>
      <c r="SZ2" s="248"/>
      <c r="TA2" s="248"/>
      <c r="TB2" s="248"/>
      <c r="TC2" s="248"/>
      <c r="TD2" s="248"/>
      <c r="TE2" s="248"/>
      <c r="TF2" s="248"/>
      <c r="TG2" s="248"/>
      <c r="TH2" s="248"/>
      <c r="TI2" s="248"/>
      <c r="TJ2" s="248"/>
      <c r="TK2" s="248"/>
      <c r="TL2" s="248"/>
      <c r="TM2" s="248"/>
      <c r="TN2" s="248"/>
      <c r="TO2" s="248"/>
      <c r="TP2" s="248"/>
      <c r="TQ2" s="248"/>
      <c r="TR2" s="248"/>
      <c r="TS2" s="248"/>
      <c r="TT2" s="248"/>
      <c r="TU2" s="248"/>
      <c r="TV2" s="248"/>
      <c r="TW2" s="248"/>
      <c r="TX2" s="248"/>
      <c r="TY2" s="248"/>
      <c r="TZ2" s="248"/>
      <c r="UA2" s="248"/>
      <c r="UB2" s="248"/>
      <c r="UC2" s="248"/>
      <c r="UD2" s="248"/>
      <c r="UE2" s="248"/>
      <c r="UF2" s="248"/>
      <c r="UG2" s="248"/>
      <c r="UH2" s="248"/>
      <c r="UI2" s="248"/>
      <c r="UJ2" s="248"/>
      <c r="UK2" s="248"/>
      <c r="UL2" s="248"/>
      <c r="UM2" s="248"/>
      <c r="UN2" s="248"/>
      <c r="UO2" s="248"/>
      <c r="UP2" s="248"/>
      <c r="UQ2" s="248"/>
      <c r="UR2" s="248"/>
      <c r="US2" s="248"/>
      <c r="UT2" s="248"/>
      <c r="UU2" s="248"/>
      <c r="UV2" s="248"/>
      <c r="UW2" s="248"/>
      <c r="UX2" s="248"/>
      <c r="UY2" s="248"/>
      <c r="UZ2" s="248"/>
      <c r="VA2" s="248"/>
      <c r="VB2" s="248"/>
      <c r="VC2" s="248"/>
      <c r="VD2" s="248"/>
      <c r="VE2" s="248"/>
      <c r="VF2" s="248"/>
      <c r="VG2" s="248"/>
      <c r="VH2" s="248"/>
      <c r="VI2" s="248"/>
      <c r="VJ2" s="248"/>
      <c r="VK2" s="248"/>
      <c r="VL2" s="248"/>
      <c r="VM2" s="248"/>
      <c r="VN2" s="248"/>
      <c r="VO2" s="248"/>
      <c r="VP2" s="248"/>
      <c r="VQ2" s="248"/>
      <c r="VR2" s="248"/>
      <c r="VS2" s="248"/>
      <c r="VT2" s="248"/>
      <c r="VU2" s="248"/>
      <c r="VV2" s="248"/>
      <c r="VW2" s="248"/>
      <c r="VX2" s="248"/>
      <c r="VY2" s="248"/>
      <c r="VZ2" s="248"/>
      <c r="WA2" s="248"/>
      <c r="WB2" s="248"/>
      <c r="WC2" s="248"/>
      <c r="WD2" s="248"/>
      <c r="WE2" s="248"/>
      <c r="WF2" s="248"/>
      <c r="WG2" s="248"/>
      <c r="WH2" s="248"/>
      <c r="WI2" s="248"/>
      <c r="WJ2" s="248"/>
      <c r="WK2" s="248"/>
      <c r="WL2" s="248"/>
      <c r="WM2" s="248"/>
      <c r="WN2" s="248"/>
      <c r="WO2" s="248"/>
      <c r="WP2" s="248"/>
      <c r="WQ2" s="248"/>
      <c r="WR2" s="248"/>
      <c r="WS2" s="248"/>
      <c r="WT2" s="248"/>
      <c r="WU2" s="248"/>
      <c r="WV2" s="248"/>
      <c r="WW2" s="248"/>
      <c r="WX2" s="248"/>
      <c r="WY2" s="248"/>
      <c r="WZ2" s="248"/>
      <c r="XA2" s="248"/>
      <c r="XB2" s="248"/>
      <c r="XC2" s="248"/>
      <c r="XD2" s="248"/>
      <c r="XE2" s="248"/>
      <c r="XF2" s="248"/>
      <c r="XG2" s="248"/>
      <c r="XH2" s="248"/>
      <c r="XI2" s="248"/>
      <c r="XJ2" s="248"/>
      <c r="XK2" s="248"/>
      <c r="XL2" s="248"/>
      <c r="XM2" s="248"/>
      <c r="XN2" s="248"/>
      <c r="XO2" s="248"/>
      <c r="XP2" s="248"/>
      <c r="XQ2" s="248"/>
      <c r="XR2" s="248"/>
      <c r="XS2" s="248"/>
      <c r="XT2" s="248"/>
      <c r="XU2" s="248"/>
      <c r="XV2" s="248"/>
      <c r="XW2" s="248"/>
      <c r="XX2" s="248"/>
      <c r="XY2" s="248"/>
      <c r="XZ2" s="248"/>
      <c r="YA2" s="248"/>
      <c r="YB2" s="248"/>
      <c r="YC2" s="248"/>
      <c r="YD2" s="248"/>
      <c r="YE2" s="248"/>
      <c r="YF2" s="248"/>
      <c r="YG2" s="248"/>
      <c r="YH2" s="248"/>
      <c r="YI2" s="248"/>
      <c r="YJ2" s="248"/>
      <c r="YK2" s="248"/>
      <c r="YL2" s="248"/>
      <c r="YM2" s="248"/>
      <c r="YN2" s="248"/>
      <c r="YO2" s="248"/>
      <c r="YP2" s="248"/>
      <c r="YQ2" s="248"/>
      <c r="YR2" s="248"/>
      <c r="YS2" s="248"/>
      <c r="YT2" s="248"/>
      <c r="YU2" s="248"/>
      <c r="YV2" s="248"/>
      <c r="YW2" s="248"/>
      <c r="YX2" s="248"/>
      <c r="YY2" s="248"/>
      <c r="YZ2" s="248"/>
      <c r="ZA2" s="248"/>
      <c r="ZB2" s="248"/>
      <c r="ZC2" s="248"/>
      <c r="ZD2" s="248"/>
      <c r="ZE2" s="248"/>
      <c r="ZF2" s="248"/>
      <c r="ZG2" s="248"/>
      <c r="ZH2" s="248"/>
    </row>
    <row r="3" spans="1:684" s="252" customFormat="1" ht="20.100000000000001" customHeight="1" x14ac:dyDescent="0.3">
      <c r="A3" s="249"/>
      <c r="B3" s="250" t="s">
        <v>275</v>
      </c>
      <c r="C3" s="251"/>
      <c r="E3" s="253"/>
      <c r="F3" s="253"/>
      <c r="G3" s="253"/>
      <c r="H3" s="253"/>
      <c r="I3" s="253"/>
      <c r="J3" s="253"/>
      <c r="K3" s="251"/>
      <c r="L3" s="251"/>
    </row>
    <row r="4" spans="1:684" s="252" customFormat="1" ht="20.100000000000001" customHeight="1" x14ac:dyDescent="0.3">
      <c r="A4" s="249"/>
      <c r="B4" s="250" t="s">
        <v>276</v>
      </c>
      <c r="C4" s="251"/>
      <c r="E4" s="253"/>
      <c r="F4" s="253"/>
      <c r="G4" s="253"/>
      <c r="H4" s="253"/>
      <c r="I4" s="253"/>
      <c r="J4" s="253"/>
      <c r="K4" s="251"/>
      <c r="L4" s="251"/>
    </row>
    <row r="5" spans="1:684" s="252" customFormat="1" ht="20.100000000000001" customHeight="1" x14ac:dyDescent="0.3">
      <c r="A5" s="249"/>
      <c r="B5" s="254" t="s">
        <v>277</v>
      </c>
      <c r="C5" s="251"/>
      <c r="E5" s="253"/>
      <c r="F5" s="253"/>
      <c r="G5" s="253"/>
      <c r="H5" s="253"/>
      <c r="I5" s="253"/>
      <c r="J5" s="253"/>
      <c r="K5" s="251"/>
      <c r="L5" s="251"/>
    </row>
    <row r="6" spans="1:684" s="258" customFormat="1" ht="30" customHeight="1" x14ac:dyDescent="0.3">
      <c r="A6" s="255"/>
      <c r="B6" s="256"/>
      <c r="C6" s="257"/>
      <c r="E6" s="259"/>
      <c r="F6" s="253"/>
      <c r="G6" s="240"/>
      <c r="H6" s="240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60"/>
    </row>
    <row r="8" spans="1:684" x14ac:dyDescent="0.25">
      <c r="B8" s="261" t="s">
        <v>278</v>
      </c>
      <c r="C8" s="261"/>
    </row>
    <row r="9" spans="1:684" s="241" customFormat="1" ht="7.5" customHeight="1" x14ac:dyDescent="0.25">
      <c r="A9" s="262"/>
      <c r="B9" s="263"/>
      <c r="C9" s="263"/>
      <c r="E9" s="262"/>
      <c r="F9" s="262"/>
      <c r="G9" s="262"/>
      <c r="H9" s="262"/>
      <c r="I9" s="262"/>
      <c r="J9" s="262"/>
    </row>
    <row r="10" spans="1:684" x14ac:dyDescent="0.25">
      <c r="B10" s="264" t="str">
        <f>B60</f>
        <v>Reposicionamento Tarifário (RT)</v>
      </c>
      <c r="C10" s="265">
        <f>C60</f>
        <v>1.6333961621616488E-2</v>
      </c>
    </row>
    <row r="11" spans="1:684" ht="15.75" thickBot="1" x14ac:dyDescent="0.3">
      <c r="B11" s="266" t="str">
        <f>B67</f>
        <v>RT com Componentes Financeiros</v>
      </c>
      <c r="C11" s="267">
        <f>C69</f>
        <v>7.9808173895503084E-2</v>
      </c>
    </row>
    <row r="13" spans="1:684" s="241" customFormat="1" ht="15" customHeight="1" x14ac:dyDescent="0.25">
      <c r="B13" s="268" t="s">
        <v>279</v>
      </c>
      <c r="C13" s="269" t="s">
        <v>280</v>
      </c>
      <c r="E13" s="262"/>
      <c r="F13" s="262"/>
      <c r="G13" s="262"/>
      <c r="H13" s="262"/>
      <c r="I13" s="262"/>
      <c r="J13" s="262"/>
    </row>
    <row r="14" spans="1:684" s="241" customFormat="1" ht="7.5" customHeight="1" x14ac:dyDescent="0.25">
      <c r="A14" s="262"/>
      <c r="B14" s="263"/>
      <c r="C14" s="263"/>
      <c r="E14" s="262"/>
      <c r="F14" s="262"/>
      <c r="G14" s="262"/>
      <c r="H14" s="262"/>
      <c r="I14" s="262"/>
      <c r="J14" s="262"/>
    </row>
    <row r="15" spans="1:684" s="241" customFormat="1" ht="15" customHeight="1" x14ac:dyDescent="0.35">
      <c r="B15" s="264" t="s">
        <v>281</v>
      </c>
      <c r="C15" s="314">
        <v>12420855.250000002</v>
      </c>
      <c r="E15" s="308" t="s">
        <v>138</v>
      </c>
      <c r="F15" s="307" t="s">
        <v>153</v>
      </c>
      <c r="G15" s="311">
        <f>C15</f>
        <v>12420855.250000002</v>
      </c>
      <c r="H15" s="305" t="s">
        <v>324</v>
      </c>
      <c r="I15" s="304"/>
      <c r="J15" s="303"/>
    </row>
    <row r="16" spans="1:684" s="241" customFormat="1" ht="15" customHeight="1" x14ac:dyDescent="0.25">
      <c r="B16" s="272" t="s">
        <v>282</v>
      </c>
      <c r="C16" s="314">
        <v>14981506.169556191</v>
      </c>
      <c r="E16" s="271"/>
      <c r="F16" s="262"/>
      <c r="H16" s="262"/>
      <c r="I16" s="262"/>
      <c r="J16" s="262"/>
    </row>
    <row r="17" spans="2:10" s="241" customFormat="1" ht="15" customHeight="1" x14ac:dyDescent="0.35">
      <c r="B17" s="272" t="s">
        <v>283</v>
      </c>
      <c r="C17" s="314">
        <v>41558568.601555854</v>
      </c>
      <c r="E17" s="308" t="s">
        <v>135</v>
      </c>
      <c r="F17" s="307" t="s">
        <v>152</v>
      </c>
      <c r="G17" s="306">
        <f>SUM(C16:C17)</f>
        <v>56540074.771112047</v>
      </c>
      <c r="H17" s="310" t="s">
        <v>322</v>
      </c>
      <c r="I17" s="309"/>
      <c r="J17" s="309"/>
    </row>
    <row r="18" spans="2:10" s="241" customFormat="1" ht="7.5" customHeight="1" x14ac:dyDescent="0.25">
      <c r="B18" s="263"/>
      <c r="C18" s="273"/>
      <c r="E18" s="271"/>
      <c r="F18" s="262"/>
      <c r="G18" s="313" t="s">
        <v>323</v>
      </c>
      <c r="H18" s="262"/>
      <c r="I18" s="262"/>
      <c r="J18" s="262"/>
    </row>
    <row r="19" spans="2:10" s="241" customFormat="1" ht="15" customHeight="1" thickBot="1" x14ac:dyDescent="0.25">
      <c r="B19" s="274" t="s">
        <v>284</v>
      </c>
      <c r="C19" s="275">
        <f>SUM(C15:C17)</f>
        <v>68960930.021112055</v>
      </c>
      <c r="E19" s="262"/>
      <c r="F19" s="262"/>
      <c r="G19" s="262"/>
      <c r="H19" s="262"/>
      <c r="I19" s="262"/>
      <c r="J19" s="262"/>
    </row>
    <row r="20" spans="2:10" s="241" customFormat="1" ht="15" customHeight="1" x14ac:dyDescent="0.25">
      <c r="C20" s="276"/>
      <c r="E20" s="262"/>
      <c r="F20" s="262"/>
      <c r="G20" s="262"/>
      <c r="H20" s="262"/>
      <c r="I20" s="262"/>
      <c r="J20" s="262"/>
    </row>
    <row r="21" spans="2:10" s="241" customFormat="1" ht="15" customHeight="1" x14ac:dyDescent="0.25">
      <c r="B21" s="268" t="s">
        <v>285</v>
      </c>
      <c r="C21" s="269" t="s">
        <v>280</v>
      </c>
      <c r="E21" s="262"/>
      <c r="F21" s="262"/>
      <c r="G21" s="262"/>
      <c r="H21" s="262"/>
      <c r="I21" s="262"/>
      <c r="J21" s="262"/>
    </row>
    <row r="22" spans="2:10" s="241" customFormat="1" ht="7.5" customHeight="1" x14ac:dyDescent="0.25">
      <c r="B22" s="263"/>
      <c r="C22" s="273"/>
      <c r="E22" s="262"/>
      <c r="F22" s="262"/>
      <c r="G22" s="262"/>
      <c r="H22" s="262"/>
      <c r="I22" s="262"/>
      <c r="J22" s="262"/>
    </row>
    <row r="23" spans="2:10" s="241" customFormat="1" ht="15" customHeight="1" x14ac:dyDescent="0.2">
      <c r="B23" s="277" t="s">
        <v>286</v>
      </c>
      <c r="C23" s="278">
        <f>SUM(C24:C29)</f>
        <v>787949663.41807985</v>
      </c>
      <c r="E23" s="262"/>
      <c r="F23" s="262"/>
      <c r="G23" s="262"/>
      <c r="H23" s="262"/>
      <c r="I23" s="262"/>
      <c r="J23" s="262"/>
    </row>
    <row r="24" spans="2:10" s="241" customFormat="1" ht="15" customHeight="1" x14ac:dyDescent="0.2">
      <c r="B24" s="279" t="s">
        <v>287</v>
      </c>
      <c r="C24" s="270">
        <v>595199283.54102087</v>
      </c>
      <c r="E24" s="262"/>
      <c r="F24" s="262"/>
      <c r="G24" s="262"/>
      <c r="H24" s="262"/>
      <c r="I24" s="262"/>
      <c r="J24" s="262"/>
    </row>
    <row r="25" spans="2:10" s="241" customFormat="1" ht="15" customHeight="1" x14ac:dyDescent="0.2">
      <c r="B25" s="279" t="s">
        <v>288</v>
      </c>
      <c r="C25" s="270">
        <v>5452143.7156234886</v>
      </c>
      <c r="E25" s="262"/>
      <c r="F25" s="262"/>
      <c r="G25" s="262"/>
      <c r="H25" s="262"/>
      <c r="I25" s="262"/>
      <c r="J25" s="262"/>
    </row>
    <row r="26" spans="2:10" s="241" customFormat="1" ht="15" customHeight="1" x14ac:dyDescent="0.2">
      <c r="B26" s="279" t="s">
        <v>289</v>
      </c>
      <c r="C26" s="270">
        <v>45849619.130673058</v>
      </c>
      <c r="E26" s="262"/>
      <c r="F26" s="262"/>
      <c r="G26" s="262"/>
      <c r="H26" s="262"/>
      <c r="I26" s="262"/>
      <c r="J26" s="262"/>
    </row>
    <row r="27" spans="2:10" s="241" customFormat="1" ht="15" customHeight="1" x14ac:dyDescent="0.2">
      <c r="B27" s="279" t="s">
        <v>290</v>
      </c>
      <c r="C27" s="270">
        <v>10213587.897360831</v>
      </c>
      <c r="E27" s="262"/>
      <c r="F27" s="262"/>
      <c r="G27" s="262"/>
      <c r="H27" s="262"/>
      <c r="I27" s="262"/>
      <c r="J27" s="262"/>
    </row>
    <row r="28" spans="2:10" s="241" customFormat="1" ht="15" customHeight="1" x14ac:dyDescent="0.2">
      <c r="B28" s="279" t="s">
        <v>291</v>
      </c>
      <c r="C28" s="270">
        <v>106870256.96647988</v>
      </c>
      <c r="E28" s="262"/>
      <c r="F28" s="262"/>
      <c r="G28" s="262"/>
      <c r="H28" s="262"/>
      <c r="I28" s="262"/>
      <c r="J28" s="262"/>
    </row>
    <row r="29" spans="2:10" s="241" customFormat="1" ht="15" customHeight="1" x14ac:dyDescent="0.2">
      <c r="B29" s="279" t="s">
        <v>292</v>
      </c>
      <c r="C29" s="270">
        <v>24364772.166921686</v>
      </c>
      <c r="E29" s="262"/>
      <c r="F29" s="262"/>
      <c r="G29" s="262"/>
      <c r="H29" s="262"/>
      <c r="I29" s="262"/>
      <c r="J29" s="262"/>
    </row>
    <row r="30" spans="2:10" s="241" customFormat="1" ht="7.5" customHeight="1" x14ac:dyDescent="0.2">
      <c r="B30" s="272"/>
      <c r="C30" s="270"/>
      <c r="E30" s="262"/>
      <c r="F30" s="262"/>
      <c r="G30" s="262"/>
      <c r="H30" s="262"/>
      <c r="I30" s="262"/>
      <c r="J30" s="262"/>
    </row>
    <row r="31" spans="2:10" s="241" customFormat="1" ht="15" customHeight="1" x14ac:dyDescent="0.2">
      <c r="B31" s="277" t="s">
        <v>293</v>
      </c>
      <c r="C31" s="278">
        <f>F74</f>
        <v>8472237.3449112494</v>
      </c>
      <c r="F31" s="262"/>
      <c r="G31" s="262"/>
      <c r="H31" s="262"/>
      <c r="I31" s="262"/>
      <c r="J31" s="262"/>
    </row>
    <row r="32" spans="2:10" s="262" customFormat="1" ht="7.5" customHeight="1" x14ac:dyDescent="0.2">
      <c r="B32" s="280"/>
      <c r="C32" s="270"/>
    </row>
    <row r="33" spans="2:10" s="241" customFormat="1" ht="15" customHeight="1" x14ac:dyDescent="0.2">
      <c r="B33" s="277" t="s">
        <v>294</v>
      </c>
      <c r="C33" s="278">
        <v>650878235.70949697</v>
      </c>
      <c r="E33" s="281"/>
      <c r="F33" s="262"/>
      <c r="G33" s="262"/>
      <c r="H33" s="262"/>
      <c r="I33" s="262"/>
      <c r="J33" s="262"/>
    </row>
    <row r="34" spans="2:10" s="241" customFormat="1" ht="15" customHeight="1" x14ac:dyDescent="0.2">
      <c r="B34" s="279" t="s">
        <v>295</v>
      </c>
      <c r="C34" s="270">
        <v>45979740.656237669</v>
      </c>
      <c r="E34" s="262"/>
      <c r="F34" s="262"/>
      <c r="G34" s="262"/>
      <c r="H34" s="262"/>
      <c r="I34" s="262"/>
      <c r="J34" s="262"/>
    </row>
    <row r="35" spans="2:10" s="241" customFormat="1" ht="15" customHeight="1" x14ac:dyDescent="0.2">
      <c r="B35" s="279" t="s">
        <v>296</v>
      </c>
      <c r="C35" s="270">
        <v>14788866.045924811</v>
      </c>
      <c r="E35" s="262"/>
      <c r="F35" s="262"/>
      <c r="G35" s="262"/>
      <c r="H35" s="262"/>
      <c r="I35" s="262"/>
      <c r="J35" s="262"/>
    </row>
    <row r="36" spans="2:10" s="241" customFormat="1" ht="15" customHeight="1" x14ac:dyDescent="0.2">
      <c r="B36" s="279" t="s">
        <v>297</v>
      </c>
      <c r="C36" s="270">
        <v>18931871.284760483</v>
      </c>
      <c r="E36" s="262"/>
      <c r="F36" s="262"/>
      <c r="G36" s="262"/>
      <c r="H36" s="262"/>
      <c r="I36" s="262"/>
      <c r="J36" s="262"/>
    </row>
    <row r="37" spans="2:10" s="241" customFormat="1" ht="7.5" customHeight="1" x14ac:dyDescent="0.25">
      <c r="B37" s="263"/>
      <c r="C37" s="273"/>
      <c r="E37" s="262"/>
      <c r="F37" s="262"/>
      <c r="G37" s="262"/>
      <c r="H37" s="262"/>
      <c r="I37" s="262"/>
      <c r="J37" s="262"/>
    </row>
    <row r="38" spans="2:10" s="241" customFormat="1" ht="15" customHeight="1" thickBot="1" x14ac:dyDescent="0.4">
      <c r="B38" s="274" t="s">
        <v>298</v>
      </c>
      <c r="C38" s="275">
        <f>SUM(C23,C31,C33)</f>
        <v>1447300136.4724879</v>
      </c>
      <c r="E38" s="308" t="s">
        <v>140</v>
      </c>
      <c r="F38" s="307" t="s">
        <v>130</v>
      </c>
      <c r="G38" s="306">
        <f>C38</f>
        <v>1447300136.4724879</v>
      </c>
      <c r="H38" s="305" t="s">
        <v>321</v>
      </c>
      <c r="I38" s="304"/>
      <c r="J38" s="303"/>
    </row>
    <row r="39" spans="2:10" s="241" customFormat="1" ht="7.5" customHeight="1" x14ac:dyDescent="0.2">
      <c r="B39" s="282"/>
      <c r="C39" s="278"/>
      <c r="E39" s="262"/>
      <c r="F39" s="262"/>
      <c r="G39" s="262"/>
      <c r="H39" s="262"/>
      <c r="I39" s="262"/>
      <c r="J39" s="262"/>
    </row>
    <row r="40" spans="2:10" s="241" customFormat="1" ht="15" customHeight="1" x14ac:dyDescent="0.2">
      <c r="B40" s="241" t="s">
        <v>299</v>
      </c>
      <c r="C40" s="270">
        <v>-18110449.537980795</v>
      </c>
      <c r="E40" s="262"/>
      <c r="F40" s="262"/>
      <c r="G40" s="262"/>
      <c r="H40" s="262"/>
      <c r="I40" s="262"/>
      <c r="J40" s="262"/>
    </row>
    <row r="41" spans="2:10" s="241" customFormat="1" ht="7.5" customHeight="1" x14ac:dyDescent="0.25">
      <c r="C41" s="276"/>
      <c r="E41" s="262"/>
      <c r="F41" s="262"/>
      <c r="G41" s="262"/>
      <c r="H41" s="262"/>
      <c r="I41" s="262"/>
      <c r="J41" s="262"/>
    </row>
    <row r="42" spans="2:10" s="241" customFormat="1" ht="15" customHeight="1" thickBot="1" x14ac:dyDescent="0.3">
      <c r="B42" s="274" t="s">
        <v>300</v>
      </c>
      <c r="C42" s="314">
        <f>C38+C40</f>
        <v>1429189686.9345071</v>
      </c>
      <c r="E42" s="283"/>
      <c r="F42" s="262"/>
      <c r="G42" s="262"/>
      <c r="H42" s="262"/>
      <c r="I42" s="262"/>
      <c r="J42" s="262"/>
    </row>
    <row r="43" spans="2:10" s="241" customFormat="1" ht="15" customHeight="1" x14ac:dyDescent="0.25">
      <c r="C43" s="276"/>
      <c r="E43" s="284"/>
      <c r="F43" s="262"/>
      <c r="G43" s="262"/>
      <c r="H43" s="262"/>
      <c r="I43" s="262"/>
      <c r="J43" s="262"/>
    </row>
    <row r="44" spans="2:10" s="241" customFormat="1" ht="15" customHeight="1" x14ac:dyDescent="0.25">
      <c r="B44" s="268" t="s">
        <v>278</v>
      </c>
      <c r="C44" s="269" t="s">
        <v>280</v>
      </c>
      <c r="E44" s="262"/>
      <c r="F44" s="262"/>
      <c r="G44" s="262"/>
      <c r="H44" s="262"/>
      <c r="I44" s="262"/>
      <c r="J44" s="262"/>
    </row>
    <row r="45" spans="2:10" s="241" customFormat="1" ht="7.5" customHeight="1" x14ac:dyDescent="0.25">
      <c r="B45" s="263"/>
      <c r="C45" s="273"/>
      <c r="E45" s="262"/>
      <c r="F45" s="262"/>
      <c r="G45" s="262"/>
      <c r="H45" s="262"/>
      <c r="I45" s="262"/>
      <c r="J45" s="262"/>
    </row>
    <row r="46" spans="2:10" s="241" customFormat="1" ht="15" customHeight="1" x14ac:dyDescent="0.2">
      <c r="B46" s="264" t="s">
        <v>301</v>
      </c>
      <c r="C46" s="270">
        <f>C19+C42</f>
        <v>1498150616.9556191</v>
      </c>
      <c r="F46" s="262"/>
      <c r="G46" s="262"/>
      <c r="H46" s="262"/>
      <c r="I46" s="262"/>
      <c r="J46" s="262"/>
    </row>
    <row r="47" spans="2:10" s="241" customFormat="1" ht="7.5" customHeight="1" x14ac:dyDescent="0.2">
      <c r="B47" s="264"/>
      <c r="C47" s="270"/>
      <c r="E47" s="262"/>
      <c r="F47" s="262"/>
      <c r="G47" s="262"/>
      <c r="H47" s="262"/>
      <c r="I47" s="262"/>
      <c r="J47" s="262"/>
    </row>
    <row r="48" spans="2:10" s="241" customFormat="1" ht="15" customHeight="1" x14ac:dyDescent="0.2">
      <c r="B48" s="272" t="s">
        <v>302</v>
      </c>
      <c r="C48" s="270">
        <v>-8587596.6584874876</v>
      </c>
      <c r="E48" s="262"/>
      <c r="F48" s="262"/>
      <c r="G48" s="262"/>
      <c r="H48" s="262"/>
      <c r="I48" s="262"/>
      <c r="J48" s="262"/>
    </row>
    <row r="49" spans="2:10" s="241" customFormat="1" ht="7.5" customHeight="1" x14ac:dyDescent="0.2">
      <c r="B49" s="264"/>
      <c r="C49" s="270"/>
      <c r="E49" s="262"/>
      <c r="F49" s="262"/>
      <c r="G49" s="262"/>
      <c r="H49" s="262"/>
      <c r="I49" s="262"/>
      <c r="J49" s="262"/>
    </row>
    <row r="50" spans="2:10" s="241" customFormat="1" ht="15" customHeight="1" x14ac:dyDescent="0.2">
      <c r="B50" s="264" t="s">
        <v>303</v>
      </c>
      <c r="C50" s="270">
        <f>C46+C48</f>
        <v>1489563020.2971315</v>
      </c>
      <c r="E50" s="283"/>
      <c r="F50" s="262"/>
      <c r="G50" s="262"/>
      <c r="H50" s="262"/>
      <c r="I50" s="262"/>
      <c r="J50" s="262"/>
    </row>
    <row r="51" spans="2:10" s="241" customFormat="1" ht="7.5" customHeight="1" x14ac:dyDescent="0.2">
      <c r="B51" s="264"/>
      <c r="C51" s="270"/>
      <c r="E51" s="262"/>
      <c r="F51" s="262"/>
      <c r="G51" s="262"/>
      <c r="H51" s="262"/>
      <c r="I51" s="262"/>
      <c r="J51" s="262"/>
    </row>
    <row r="52" spans="2:10" s="241" customFormat="1" ht="15" customHeight="1" x14ac:dyDescent="0.2">
      <c r="B52" s="264" t="s">
        <v>304</v>
      </c>
      <c r="C52" s="270">
        <f>SUM(C53:C54)</f>
        <v>1615012210.4394159</v>
      </c>
      <c r="E52" s="262"/>
      <c r="F52" s="262"/>
      <c r="G52" s="262"/>
      <c r="H52" s="262"/>
      <c r="I52" s="262"/>
      <c r="J52" s="262"/>
    </row>
    <row r="53" spans="2:10" s="241" customFormat="1" ht="15" customHeight="1" x14ac:dyDescent="0.2">
      <c r="B53" s="272" t="s">
        <v>305</v>
      </c>
      <c r="C53" s="270">
        <v>892858766.07050228</v>
      </c>
      <c r="E53" s="262"/>
      <c r="F53" s="262"/>
      <c r="G53" s="262"/>
      <c r="H53" s="262"/>
      <c r="I53" s="262"/>
      <c r="J53" s="262"/>
    </row>
    <row r="54" spans="2:10" s="241" customFormat="1" ht="15" customHeight="1" x14ac:dyDescent="0.2">
      <c r="B54" s="272" t="s">
        <v>306</v>
      </c>
      <c r="C54" s="270">
        <v>722153444.36891377</v>
      </c>
      <c r="E54" s="262"/>
      <c r="F54" s="262"/>
      <c r="G54" s="262"/>
      <c r="H54" s="262"/>
      <c r="I54" s="262"/>
      <c r="J54" s="262"/>
    </row>
    <row r="55" spans="2:10" s="241" customFormat="1" ht="7.5" customHeight="1" x14ac:dyDescent="0.2">
      <c r="B55" s="264"/>
      <c r="C55" s="270"/>
      <c r="E55" s="262"/>
      <c r="F55" s="262"/>
      <c r="G55" s="262"/>
      <c r="H55" s="262"/>
      <c r="I55" s="262"/>
      <c r="J55" s="262"/>
    </row>
    <row r="56" spans="2:10" s="241" customFormat="1" ht="15" customHeight="1" x14ac:dyDescent="0.2">
      <c r="B56" s="272" t="s">
        <v>307</v>
      </c>
      <c r="C56" s="285">
        <v>9.2499999999999999E-2</v>
      </c>
      <c r="E56" s="286"/>
      <c r="F56" s="262"/>
      <c r="G56" s="262"/>
      <c r="H56" s="262"/>
      <c r="I56" s="262"/>
      <c r="J56" s="262"/>
    </row>
    <row r="57" spans="2:10" s="241" customFormat="1" ht="7.5" customHeight="1" x14ac:dyDescent="0.2">
      <c r="B57" s="264"/>
      <c r="C57" s="270"/>
      <c r="E57" s="262"/>
      <c r="F57" s="262"/>
      <c r="G57" s="262"/>
      <c r="H57" s="262"/>
      <c r="I57" s="262"/>
      <c r="J57" s="262"/>
    </row>
    <row r="58" spans="2:10" s="241" customFormat="1" ht="15" customHeight="1" x14ac:dyDescent="0.2">
      <c r="B58" s="264" t="s">
        <v>308</v>
      </c>
      <c r="C58" s="270">
        <f>C52*(1-C56)</f>
        <v>1465623580.9737699</v>
      </c>
      <c r="E58" s="270"/>
      <c r="F58" s="262"/>
      <c r="G58" s="262"/>
      <c r="H58" s="262"/>
      <c r="I58" s="262"/>
      <c r="J58" s="262"/>
    </row>
    <row r="59" spans="2:10" s="241" customFormat="1" ht="7.5" customHeight="1" x14ac:dyDescent="0.25">
      <c r="B59" s="264"/>
      <c r="C59" s="273"/>
      <c r="E59" s="262"/>
      <c r="F59" s="262"/>
      <c r="G59" s="262"/>
      <c r="H59" s="262"/>
      <c r="I59" s="262"/>
      <c r="J59" s="262"/>
    </row>
    <row r="60" spans="2:10" s="241" customFormat="1" ht="15" customHeight="1" thickBot="1" x14ac:dyDescent="0.3">
      <c r="B60" s="287" t="s">
        <v>309</v>
      </c>
      <c r="C60" s="288">
        <f>C50/C58-1</f>
        <v>1.6333961621616488E-2</v>
      </c>
      <c r="E60" s="284"/>
      <c r="F60" s="262"/>
      <c r="G60" s="262"/>
      <c r="H60" s="262"/>
      <c r="I60" s="262"/>
      <c r="J60" s="262"/>
    </row>
    <row r="61" spans="2:10" s="241" customFormat="1" ht="7.5" customHeight="1" x14ac:dyDescent="0.25">
      <c r="E61" s="262"/>
      <c r="F61" s="262"/>
      <c r="G61" s="262"/>
      <c r="H61" s="262"/>
      <c r="I61" s="262"/>
      <c r="J61" s="262"/>
    </row>
    <row r="62" spans="2:10" s="241" customFormat="1" ht="15" customHeight="1" x14ac:dyDescent="0.35">
      <c r="B62" s="289" t="s">
        <v>310</v>
      </c>
      <c r="C62" s="314">
        <v>64786501.726967551</v>
      </c>
      <c r="E62" s="308" t="s">
        <v>154</v>
      </c>
      <c r="F62" s="307" t="s">
        <v>155</v>
      </c>
      <c r="G62" s="306">
        <f>C62</f>
        <v>64786501.726967551</v>
      </c>
      <c r="H62" s="305" t="s">
        <v>320</v>
      </c>
      <c r="I62" s="304"/>
      <c r="J62" s="303"/>
    </row>
    <row r="63" spans="2:10" s="241" customFormat="1" ht="15" customHeight="1" x14ac:dyDescent="0.25">
      <c r="B63" s="290" t="s">
        <v>311</v>
      </c>
      <c r="C63" s="291">
        <f>C62/C58</f>
        <v>4.4204052505707483E-2</v>
      </c>
      <c r="E63" s="262"/>
      <c r="F63" s="262"/>
      <c r="G63" s="262"/>
      <c r="H63" s="262"/>
      <c r="I63" s="262"/>
      <c r="J63" s="262"/>
    </row>
    <row r="64" spans="2:10" s="241" customFormat="1" ht="7.5" customHeight="1" x14ac:dyDescent="0.25">
      <c r="B64" s="289"/>
      <c r="E64" s="262"/>
      <c r="F64" s="262"/>
      <c r="G64" s="262"/>
      <c r="H64" s="262"/>
      <c r="I64" s="262"/>
      <c r="J64" s="262"/>
    </row>
    <row r="65" spans="2:10" s="241" customFormat="1" ht="15" customHeight="1" x14ac:dyDescent="0.25">
      <c r="B65" s="292" t="s">
        <v>312</v>
      </c>
      <c r="C65" s="291">
        <v>1.9270159768179113E-2</v>
      </c>
      <c r="E65" s="262"/>
      <c r="F65" s="262"/>
      <c r="G65" s="262"/>
      <c r="H65" s="262"/>
      <c r="I65" s="262"/>
      <c r="J65" s="262"/>
    </row>
    <row r="66" spans="2:10" s="241" customFormat="1" ht="7.5" customHeight="1" x14ac:dyDescent="0.25">
      <c r="B66" s="289"/>
      <c r="E66" s="262"/>
      <c r="F66" s="262"/>
      <c r="G66" s="262"/>
      <c r="H66" s="262"/>
      <c r="I66" s="262"/>
      <c r="J66" s="262"/>
    </row>
    <row r="67" spans="2:10" s="241" customFormat="1" ht="15" customHeight="1" x14ac:dyDescent="0.25">
      <c r="B67" s="293" t="s">
        <v>313</v>
      </c>
      <c r="C67" s="294">
        <f>C60+C63</f>
        <v>6.0538014127323972E-2</v>
      </c>
      <c r="E67" s="262"/>
      <c r="F67" s="262"/>
      <c r="G67" s="262"/>
      <c r="H67" s="262"/>
      <c r="I67" s="262"/>
      <c r="J67" s="262"/>
    </row>
    <row r="68" spans="2:10" s="241" customFormat="1" ht="7.5" customHeight="1" x14ac:dyDescent="0.25">
      <c r="B68" s="289"/>
      <c r="E68" s="262"/>
      <c r="F68" s="262"/>
      <c r="G68" s="262"/>
      <c r="H68" s="262"/>
      <c r="I68" s="262"/>
      <c r="J68" s="262"/>
    </row>
    <row r="69" spans="2:10" s="241" customFormat="1" ht="12.75" x14ac:dyDescent="0.25">
      <c r="B69" s="293" t="s">
        <v>314</v>
      </c>
      <c r="C69" s="294">
        <f>+C65+C63+C60</f>
        <v>7.9808173895503084E-2</v>
      </c>
      <c r="E69" s="262"/>
      <c r="F69" s="262"/>
      <c r="G69" s="262"/>
      <c r="H69" s="262"/>
      <c r="I69" s="262"/>
      <c r="J69" s="262"/>
    </row>
    <row r="70" spans="2:10" s="241" customFormat="1" ht="12.75" hidden="1" outlineLevel="1" x14ac:dyDescent="0.25">
      <c r="B70" s="289"/>
      <c r="E70" s="262"/>
      <c r="F70" s="262"/>
      <c r="G70" s="262"/>
      <c r="H70" s="262"/>
      <c r="I70" s="262"/>
      <c r="J70" s="262"/>
    </row>
    <row r="71" spans="2:10" ht="4.5" hidden="1" customHeight="1" outlineLevel="1" x14ac:dyDescent="0.25">
      <c r="B71" s="293"/>
      <c r="C71" s="295"/>
    </row>
    <row r="72" spans="2:10" s="241" customFormat="1" ht="12.75" hidden="1" outlineLevel="1" x14ac:dyDescent="0.25">
      <c r="B72" s="289"/>
      <c r="E72" s="296" t="s">
        <v>315</v>
      </c>
      <c r="F72" s="297"/>
      <c r="G72" s="297"/>
      <c r="H72" s="297"/>
      <c r="I72" s="262"/>
      <c r="J72" s="262"/>
    </row>
    <row r="73" spans="2:10" hidden="1" outlineLevel="1" x14ac:dyDescent="0.25">
      <c r="B73" s="298"/>
      <c r="C73" s="298"/>
      <c r="F73" s="299" t="s">
        <v>316</v>
      </c>
      <c r="G73" s="299" t="s">
        <v>316</v>
      </c>
      <c r="H73" s="299" t="s">
        <v>317</v>
      </c>
    </row>
    <row r="74" spans="2:10" hidden="1" outlineLevel="1" x14ac:dyDescent="0.25">
      <c r="B74" s="298"/>
      <c r="C74" s="298"/>
      <c r="E74" s="240" t="s">
        <v>318</v>
      </c>
      <c r="F74" s="300">
        <v>8472237.3449112494</v>
      </c>
      <c r="G74" s="301">
        <v>8472237.3449112494</v>
      </c>
      <c r="H74" s="301">
        <f t="shared" ref="H74:H105" si="0">G74-F74</f>
        <v>0</v>
      </c>
    </row>
    <row r="75" spans="2:10" hidden="1" outlineLevel="1" x14ac:dyDescent="0.25">
      <c r="B75" s="298"/>
      <c r="C75" s="298"/>
      <c r="F75" s="300"/>
      <c r="G75" s="300"/>
      <c r="H75" s="301">
        <f t="shared" si="0"/>
        <v>0</v>
      </c>
    </row>
    <row r="76" spans="2:10" hidden="1" outlineLevel="1" x14ac:dyDescent="0.25">
      <c r="B76" s="298"/>
      <c r="C76" s="298"/>
      <c r="F76" s="300"/>
      <c r="G76" s="300"/>
      <c r="H76" s="301">
        <f t="shared" si="0"/>
        <v>0</v>
      </c>
    </row>
    <row r="77" spans="2:10" hidden="1" outlineLevel="1" x14ac:dyDescent="0.25">
      <c r="B77" s="298"/>
      <c r="C77" s="298"/>
      <c r="F77" s="300"/>
      <c r="G77" s="300"/>
      <c r="H77" s="301">
        <f t="shared" si="0"/>
        <v>0</v>
      </c>
    </row>
    <row r="78" spans="2:10" hidden="1" outlineLevel="1" x14ac:dyDescent="0.25">
      <c r="B78" s="298"/>
      <c r="C78" s="298"/>
      <c r="F78" s="300"/>
      <c r="G78" s="300"/>
      <c r="H78" s="301">
        <f t="shared" si="0"/>
        <v>0</v>
      </c>
    </row>
    <row r="79" spans="2:10" hidden="1" outlineLevel="1" x14ac:dyDescent="0.25">
      <c r="B79" s="298"/>
      <c r="C79" s="298"/>
      <c r="F79" s="300"/>
      <c r="G79" s="300"/>
      <c r="H79" s="301">
        <f t="shared" si="0"/>
        <v>0</v>
      </c>
    </row>
    <row r="80" spans="2:10" hidden="1" outlineLevel="1" x14ac:dyDescent="0.25">
      <c r="B80" s="298"/>
      <c r="C80" s="298"/>
      <c r="F80" s="300"/>
      <c r="G80" s="300"/>
      <c r="H80" s="301">
        <f t="shared" si="0"/>
        <v>0</v>
      </c>
    </row>
    <row r="81" spans="2:8" s="240" customFormat="1" hidden="1" outlineLevel="1" x14ac:dyDescent="0.25">
      <c r="B81" s="298"/>
      <c r="C81" s="298"/>
      <c r="D81" s="235"/>
      <c r="F81" s="300"/>
      <c r="G81" s="300"/>
      <c r="H81" s="301">
        <f t="shared" si="0"/>
        <v>0</v>
      </c>
    </row>
    <row r="82" spans="2:8" s="240" customFormat="1" hidden="1" outlineLevel="1" x14ac:dyDescent="0.25">
      <c r="B82" s="298"/>
      <c r="C82" s="298"/>
      <c r="D82" s="235"/>
      <c r="F82" s="300"/>
      <c r="G82" s="300"/>
      <c r="H82" s="301">
        <f t="shared" si="0"/>
        <v>0</v>
      </c>
    </row>
    <row r="83" spans="2:8" s="240" customFormat="1" hidden="1" outlineLevel="1" x14ac:dyDescent="0.25">
      <c r="B83" s="298"/>
      <c r="C83" s="298"/>
      <c r="D83" s="235"/>
      <c r="F83" s="300"/>
      <c r="G83" s="300"/>
      <c r="H83" s="301">
        <f t="shared" si="0"/>
        <v>0</v>
      </c>
    </row>
    <row r="84" spans="2:8" s="240" customFormat="1" hidden="1" outlineLevel="1" x14ac:dyDescent="0.25">
      <c r="B84" s="298"/>
      <c r="C84" s="298"/>
      <c r="D84" s="235"/>
      <c r="F84" s="300"/>
      <c r="G84" s="300"/>
      <c r="H84" s="301">
        <f t="shared" si="0"/>
        <v>0</v>
      </c>
    </row>
    <row r="85" spans="2:8" s="240" customFormat="1" hidden="1" outlineLevel="1" x14ac:dyDescent="0.25">
      <c r="B85" s="298"/>
      <c r="C85" s="298"/>
      <c r="D85" s="235"/>
      <c r="F85" s="300"/>
      <c r="G85" s="300"/>
      <c r="H85" s="301">
        <f t="shared" si="0"/>
        <v>0</v>
      </c>
    </row>
    <row r="86" spans="2:8" s="240" customFormat="1" hidden="1" outlineLevel="1" x14ac:dyDescent="0.25">
      <c r="B86" s="298"/>
      <c r="C86" s="298"/>
      <c r="D86" s="235"/>
      <c r="F86" s="300"/>
      <c r="G86" s="300"/>
      <c r="H86" s="301">
        <f t="shared" si="0"/>
        <v>0</v>
      </c>
    </row>
    <row r="87" spans="2:8" s="240" customFormat="1" hidden="1" outlineLevel="1" x14ac:dyDescent="0.25">
      <c r="B87" s="298"/>
      <c r="C87" s="298"/>
      <c r="D87" s="235"/>
      <c r="F87" s="300"/>
      <c r="G87" s="300"/>
      <c r="H87" s="301">
        <f t="shared" si="0"/>
        <v>0</v>
      </c>
    </row>
    <row r="88" spans="2:8" s="240" customFormat="1" hidden="1" outlineLevel="1" x14ac:dyDescent="0.25">
      <c r="B88" s="298"/>
      <c r="C88" s="298"/>
      <c r="D88" s="235"/>
      <c r="F88" s="300"/>
      <c r="G88" s="300"/>
      <c r="H88" s="301">
        <f t="shared" si="0"/>
        <v>0</v>
      </c>
    </row>
    <row r="89" spans="2:8" s="240" customFormat="1" hidden="1" outlineLevel="1" x14ac:dyDescent="0.25">
      <c r="B89" s="298"/>
      <c r="C89" s="298"/>
      <c r="D89" s="235"/>
      <c r="F89" s="300"/>
      <c r="G89" s="300"/>
      <c r="H89" s="301">
        <f t="shared" si="0"/>
        <v>0</v>
      </c>
    </row>
    <row r="90" spans="2:8" s="240" customFormat="1" hidden="1" outlineLevel="1" x14ac:dyDescent="0.25">
      <c r="B90" s="298"/>
      <c r="C90" s="298"/>
      <c r="D90" s="235"/>
      <c r="F90" s="300"/>
      <c r="G90" s="300"/>
      <c r="H90" s="301">
        <f t="shared" si="0"/>
        <v>0</v>
      </c>
    </row>
    <row r="91" spans="2:8" s="240" customFormat="1" hidden="1" outlineLevel="1" x14ac:dyDescent="0.25">
      <c r="B91" s="298"/>
      <c r="C91" s="298"/>
      <c r="D91" s="235"/>
      <c r="F91" s="300"/>
      <c r="G91" s="300"/>
      <c r="H91" s="301">
        <f t="shared" si="0"/>
        <v>0</v>
      </c>
    </row>
    <row r="92" spans="2:8" s="240" customFormat="1" hidden="1" outlineLevel="1" x14ac:dyDescent="0.25">
      <c r="B92" s="298"/>
      <c r="C92" s="298"/>
      <c r="D92" s="235"/>
      <c r="F92" s="300"/>
      <c r="G92" s="300"/>
      <c r="H92" s="301">
        <f t="shared" si="0"/>
        <v>0</v>
      </c>
    </row>
    <row r="93" spans="2:8" s="240" customFormat="1" hidden="1" outlineLevel="1" x14ac:dyDescent="0.25">
      <c r="B93" s="298"/>
      <c r="C93" s="298"/>
      <c r="D93" s="235"/>
      <c r="F93" s="300"/>
      <c r="G93" s="300"/>
      <c r="H93" s="301">
        <f t="shared" si="0"/>
        <v>0</v>
      </c>
    </row>
    <row r="94" spans="2:8" s="240" customFormat="1" hidden="1" outlineLevel="1" x14ac:dyDescent="0.25">
      <c r="B94" s="298"/>
      <c r="C94" s="298"/>
      <c r="D94" s="235"/>
      <c r="F94" s="300"/>
      <c r="G94" s="300"/>
      <c r="H94" s="301">
        <f t="shared" si="0"/>
        <v>0</v>
      </c>
    </row>
    <row r="95" spans="2:8" s="240" customFormat="1" hidden="1" outlineLevel="1" x14ac:dyDescent="0.25">
      <c r="B95" s="298"/>
      <c r="C95" s="298"/>
      <c r="D95" s="235"/>
      <c r="F95" s="300"/>
      <c r="G95" s="300"/>
      <c r="H95" s="301">
        <f t="shared" si="0"/>
        <v>0</v>
      </c>
    </row>
    <row r="96" spans="2:8" s="240" customFormat="1" hidden="1" outlineLevel="1" x14ac:dyDescent="0.25">
      <c r="B96" s="298"/>
      <c r="C96" s="298"/>
      <c r="D96" s="235"/>
      <c r="F96" s="300"/>
      <c r="G96" s="300"/>
      <c r="H96" s="301">
        <f t="shared" si="0"/>
        <v>0</v>
      </c>
    </row>
    <row r="97" spans="2:8" s="240" customFormat="1" hidden="1" outlineLevel="1" x14ac:dyDescent="0.25">
      <c r="B97" s="298"/>
      <c r="C97" s="298"/>
      <c r="D97" s="235"/>
      <c r="F97" s="300"/>
      <c r="G97" s="300"/>
      <c r="H97" s="301">
        <f t="shared" si="0"/>
        <v>0</v>
      </c>
    </row>
    <row r="98" spans="2:8" s="240" customFormat="1" hidden="1" outlineLevel="1" x14ac:dyDescent="0.25">
      <c r="B98" s="298"/>
      <c r="C98" s="298"/>
      <c r="D98" s="235"/>
      <c r="F98" s="300"/>
      <c r="G98" s="300"/>
      <c r="H98" s="301">
        <f t="shared" si="0"/>
        <v>0</v>
      </c>
    </row>
    <row r="99" spans="2:8" s="240" customFormat="1" hidden="1" outlineLevel="1" x14ac:dyDescent="0.25">
      <c r="B99" s="298"/>
      <c r="C99" s="298"/>
      <c r="D99" s="235"/>
      <c r="F99" s="300"/>
      <c r="G99" s="300"/>
      <c r="H99" s="301">
        <f t="shared" si="0"/>
        <v>0</v>
      </c>
    </row>
    <row r="100" spans="2:8" s="240" customFormat="1" hidden="1" outlineLevel="1" x14ac:dyDescent="0.25">
      <c r="B100" s="298"/>
      <c r="C100" s="298"/>
      <c r="D100" s="235"/>
      <c r="F100" s="300"/>
      <c r="G100" s="300"/>
      <c r="H100" s="301">
        <f t="shared" si="0"/>
        <v>0</v>
      </c>
    </row>
    <row r="101" spans="2:8" s="240" customFormat="1" hidden="1" outlineLevel="1" x14ac:dyDescent="0.25">
      <c r="B101" s="298"/>
      <c r="C101" s="298"/>
      <c r="D101" s="235"/>
      <c r="F101" s="300"/>
      <c r="G101" s="300"/>
      <c r="H101" s="301">
        <f t="shared" si="0"/>
        <v>0</v>
      </c>
    </row>
    <row r="102" spans="2:8" s="240" customFormat="1" hidden="1" outlineLevel="1" x14ac:dyDescent="0.25">
      <c r="B102" s="298"/>
      <c r="C102" s="298"/>
      <c r="D102" s="235"/>
      <c r="F102" s="300"/>
      <c r="G102" s="300"/>
      <c r="H102" s="301">
        <f t="shared" si="0"/>
        <v>0</v>
      </c>
    </row>
    <row r="103" spans="2:8" s="240" customFormat="1" hidden="1" outlineLevel="1" x14ac:dyDescent="0.25">
      <c r="B103" s="298"/>
      <c r="C103" s="298"/>
      <c r="D103" s="235"/>
      <c r="F103" s="300"/>
      <c r="G103" s="300"/>
      <c r="H103" s="301">
        <f t="shared" si="0"/>
        <v>0</v>
      </c>
    </row>
    <row r="104" spans="2:8" s="240" customFormat="1" hidden="1" outlineLevel="1" x14ac:dyDescent="0.25">
      <c r="B104" s="298"/>
      <c r="C104" s="298"/>
      <c r="D104" s="235"/>
      <c r="F104" s="300"/>
      <c r="G104" s="300"/>
      <c r="H104" s="301">
        <f t="shared" si="0"/>
        <v>0</v>
      </c>
    </row>
    <row r="105" spans="2:8" s="240" customFormat="1" hidden="1" outlineLevel="1" x14ac:dyDescent="0.25">
      <c r="B105" s="298"/>
      <c r="C105" s="298"/>
      <c r="D105" s="235"/>
      <c r="F105" s="300"/>
      <c r="G105" s="300"/>
      <c r="H105" s="301">
        <f t="shared" si="0"/>
        <v>0</v>
      </c>
    </row>
    <row r="106" spans="2:8" s="240" customFormat="1" hidden="1" outlineLevel="1" x14ac:dyDescent="0.25">
      <c r="B106" s="298"/>
      <c r="C106" s="298"/>
      <c r="D106" s="235"/>
      <c r="F106" s="300"/>
      <c r="G106" s="300"/>
      <c r="H106" s="301">
        <f t="shared" ref="H106:H111" si="1">G106-F106</f>
        <v>0</v>
      </c>
    </row>
    <row r="107" spans="2:8" s="240" customFormat="1" hidden="1" outlineLevel="1" x14ac:dyDescent="0.25">
      <c r="B107" s="298"/>
      <c r="C107" s="298"/>
      <c r="D107" s="235"/>
      <c r="F107" s="300"/>
      <c r="G107" s="300"/>
      <c r="H107" s="301">
        <f t="shared" si="1"/>
        <v>0</v>
      </c>
    </row>
    <row r="108" spans="2:8" s="240" customFormat="1" hidden="1" outlineLevel="1" x14ac:dyDescent="0.25">
      <c r="B108" s="298"/>
      <c r="C108" s="298"/>
      <c r="D108" s="235"/>
      <c r="F108" s="300"/>
      <c r="G108" s="300"/>
      <c r="H108" s="301">
        <f t="shared" si="1"/>
        <v>0</v>
      </c>
    </row>
    <row r="109" spans="2:8" s="240" customFormat="1" hidden="1" outlineLevel="1" x14ac:dyDescent="0.25">
      <c r="B109" s="298"/>
      <c r="C109" s="298"/>
      <c r="D109" s="235"/>
      <c r="F109" s="300"/>
      <c r="G109" s="300"/>
      <c r="H109" s="301">
        <f t="shared" si="1"/>
        <v>0</v>
      </c>
    </row>
    <row r="110" spans="2:8" s="240" customFormat="1" hidden="1" outlineLevel="1" x14ac:dyDescent="0.25">
      <c r="B110" s="298"/>
      <c r="C110" s="298"/>
      <c r="D110" s="235"/>
      <c r="F110" s="300"/>
      <c r="G110" s="300"/>
      <c r="H110" s="301">
        <f t="shared" si="1"/>
        <v>0</v>
      </c>
    </row>
    <row r="111" spans="2:8" s="240" customFormat="1" hidden="1" outlineLevel="1" x14ac:dyDescent="0.25">
      <c r="B111" s="298"/>
      <c r="C111" s="298"/>
      <c r="D111" s="235"/>
      <c r="F111" s="300"/>
      <c r="G111" s="300"/>
      <c r="H111" s="301">
        <f t="shared" si="1"/>
        <v>0</v>
      </c>
    </row>
    <row r="112" spans="2:8" s="240" customFormat="1" hidden="1" outlineLevel="1" x14ac:dyDescent="0.25">
      <c r="B112" s="239"/>
      <c r="C112" s="239"/>
      <c r="D112" s="235"/>
      <c r="E112" s="240" t="s">
        <v>319</v>
      </c>
      <c r="F112" s="301">
        <v>1498150616.9556191</v>
      </c>
      <c r="G112" s="302">
        <v>1498150616.9556191</v>
      </c>
      <c r="H112" s="301">
        <v>0</v>
      </c>
    </row>
    <row r="113" spans="4:8" s="240" customFormat="1" hidden="1" outlineLevel="1" x14ac:dyDescent="0.25">
      <c r="D113" s="235"/>
      <c r="F113" s="300"/>
      <c r="G113" s="300"/>
      <c r="H113" s="301">
        <v>0</v>
      </c>
    </row>
    <row r="114" spans="4:8" s="240" customFormat="1" hidden="1" outlineLevel="1" x14ac:dyDescent="0.25">
      <c r="D114" s="235"/>
      <c r="F114" s="300"/>
      <c r="G114" s="300"/>
      <c r="H114" s="301">
        <v>0</v>
      </c>
    </row>
    <row r="115" spans="4:8" s="240" customFormat="1" hidden="1" outlineLevel="1" x14ac:dyDescent="0.25">
      <c r="D115" s="235"/>
      <c r="F115" s="300"/>
      <c r="G115" s="300"/>
      <c r="H115" s="301">
        <v>0</v>
      </c>
    </row>
    <row r="116" spans="4:8" s="240" customFormat="1" hidden="1" outlineLevel="1" x14ac:dyDescent="0.25">
      <c r="D116" s="235"/>
      <c r="F116" s="300"/>
      <c r="G116" s="300"/>
      <c r="H116" s="301">
        <v>0</v>
      </c>
    </row>
    <row r="117" spans="4:8" s="240" customFormat="1" hidden="1" outlineLevel="1" x14ac:dyDescent="0.25">
      <c r="D117" s="235"/>
      <c r="F117" s="300"/>
      <c r="G117" s="300"/>
      <c r="H117" s="301">
        <v>0</v>
      </c>
    </row>
    <row r="118" spans="4:8" s="240" customFormat="1" hidden="1" outlineLevel="1" x14ac:dyDescent="0.25">
      <c r="D118" s="235"/>
      <c r="F118" s="300"/>
      <c r="G118" s="300"/>
      <c r="H118" s="301">
        <v>0</v>
      </c>
    </row>
    <row r="119" spans="4:8" s="240" customFormat="1" hidden="1" outlineLevel="1" x14ac:dyDescent="0.25">
      <c r="D119" s="235"/>
      <c r="F119" s="300"/>
      <c r="G119" s="300"/>
      <c r="H119" s="301">
        <v>0</v>
      </c>
    </row>
    <row r="120" spans="4:8" s="240" customFormat="1" hidden="1" outlineLevel="1" x14ac:dyDescent="0.25">
      <c r="D120" s="235"/>
      <c r="F120" s="300"/>
      <c r="G120" s="300"/>
      <c r="H120" s="301">
        <v>0</v>
      </c>
    </row>
    <row r="121" spans="4:8" s="240" customFormat="1" hidden="1" outlineLevel="1" x14ac:dyDescent="0.25">
      <c r="D121" s="235"/>
      <c r="F121" s="300"/>
      <c r="G121" s="300"/>
      <c r="H121" s="301">
        <v>0</v>
      </c>
    </row>
    <row r="122" spans="4:8" s="240" customFormat="1" hidden="1" outlineLevel="1" x14ac:dyDescent="0.25">
      <c r="D122" s="235"/>
      <c r="F122" s="300"/>
      <c r="G122" s="300"/>
      <c r="H122" s="301">
        <v>0</v>
      </c>
    </row>
    <row r="123" spans="4:8" s="240" customFormat="1" hidden="1" outlineLevel="1" x14ac:dyDescent="0.25">
      <c r="D123" s="235"/>
      <c r="F123" s="300"/>
      <c r="G123" s="300"/>
      <c r="H123" s="301">
        <v>0</v>
      </c>
    </row>
    <row r="124" spans="4:8" s="240" customFormat="1" hidden="1" outlineLevel="1" x14ac:dyDescent="0.25">
      <c r="D124" s="235"/>
      <c r="F124" s="300"/>
      <c r="G124" s="300"/>
      <c r="H124" s="301">
        <v>0</v>
      </c>
    </row>
    <row r="125" spans="4:8" s="240" customFormat="1" hidden="1" outlineLevel="1" x14ac:dyDescent="0.25">
      <c r="D125" s="235"/>
      <c r="F125" s="300"/>
      <c r="G125" s="300"/>
      <c r="H125" s="301">
        <v>0</v>
      </c>
    </row>
    <row r="126" spans="4:8" s="240" customFormat="1" hidden="1" outlineLevel="1" x14ac:dyDescent="0.25">
      <c r="D126" s="235"/>
      <c r="F126" s="300"/>
      <c r="G126" s="300"/>
      <c r="H126" s="301">
        <v>0</v>
      </c>
    </row>
    <row r="127" spans="4:8" s="240" customFormat="1" hidden="1" outlineLevel="1" x14ac:dyDescent="0.25">
      <c r="D127" s="235"/>
      <c r="E127" s="240">
        <v>0</v>
      </c>
      <c r="F127" s="300">
        <v>6099445.6661544703</v>
      </c>
      <c r="G127" s="300">
        <v>28242800.565375343</v>
      </c>
      <c r="H127" s="301">
        <v>22143354.899220873</v>
      </c>
    </row>
    <row r="128" spans="4:8" s="240" customFormat="1" hidden="1" outlineLevel="1" x14ac:dyDescent="0.25">
      <c r="D128" s="235"/>
      <c r="E128" s="240">
        <v>0</v>
      </c>
      <c r="F128" s="300">
        <v>15777121.760033306</v>
      </c>
      <c r="G128" s="300">
        <v>15777121.760033306</v>
      </c>
      <c r="H128" s="301">
        <v>0</v>
      </c>
    </row>
    <row r="129" spans="2:10" hidden="1" outlineLevel="1" x14ac:dyDescent="0.25">
      <c r="E129" s="240">
        <v>0</v>
      </c>
      <c r="F129" s="300">
        <v>12465678.805342037</v>
      </c>
      <c r="G129" s="300">
        <v>12465678.805342037</v>
      </c>
      <c r="H129" s="301">
        <v>0</v>
      </c>
    </row>
    <row r="130" spans="2:10" s="241" customFormat="1" ht="12.75" hidden="1" outlineLevel="1" x14ac:dyDescent="0.25">
      <c r="B130" s="289"/>
      <c r="E130" s="262"/>
      <c r="F130" s="262"/>
      <c r="G130" s="262"/>
      <c r="H130" s="262"/>
      <c r="I130" s="262"/>
      <c r="J130" s="262"/>
    </row>
    <row r="131" spans="2:10" s="241" customFormat="1" ht="12.75" hidden="1" outlineLevel="1" x14ac:dyDescent="0.25">
      <c r="B131" s="289"/>
      <c r="E131" s="295"/>
      <c r="F131" s="295"/>
      <c r="G131" s="295"/>
      <c r="H131" s="295"/>
      <c r="I131" s="262"/>
      <c r="J131" s="262"/>
    </row>
    <row r="132" spans="2:10" hidden="1" outlineLevel="1" x14ac:dyDescent="0.25"/>
    <row r="133" spans="2:10" hidden="1" outlineLevel="1" x14ac:dyDescent="0.25"/>
    <row r="134" spans="2:10" hidden="1" outlineLevel="1" x14ac:dyDescent="0.25"/>
    <row r="135" spans="2:10" hidden="1" outlineLevel="1" x14ac:dyDescent="0.25"/>
    <row r="136" spans="2:10" hidden="1" outlineLevel="1" x14ac:dyDescent="0.25"/>
    <row r="137" spans="2:10" collapsed="1" x14ac:dyDescent="0.25"/>
    <row r="138" spans="2:10" x14ac:dyDescent="0.25">
      <c r="E138" s="239"/>
      <c r="F138" s="239"/>
      <c r="G138" s="239"/>
      <c r="H138" s="239"/>
      <c r="I138" s="239"/>
      <c r="J138" s="239"/>
    </row>
    <row r="139" spans="2:10" x14ac:dyDescent="0.25">
      <c r="E139" s="239"/>
      <c r="F139" s="239"/>
      <c r="G139" s="239"/>
      <c r="H139" s="239"/>
      <c r="I139" s="239"/>
      <c r="J139" s="239"/>
    </row>
    <row r="140" spans="2:10" x14ac:dyDescent="0.25">
      <c r="E140" s="239"/>
      <c r="F140" s="239"/>
      <c r="G140" s="239"/>
      <c r="H140" s="239"/>
      <c r="I140" s="239"/>
      <c r="J140" s="239"/>
    </row>
    <row r="141" spans="2:10" x14ac:dyDescent="0.25">
      <c r="E141" s="239"/>
      <c r="F141" s="239"/>
      <c r="G141" s="239"/>
      <c r="H141" s="239"/>
      <c r="I141" s="239"/>
      <c r="J141" s="239"/>
    </row>
    <row r="142" spans="2:10" x14ac:dyDescent="0.25">
      <c r="E142" s="239"/>
      <c r="F142" s="239"/>
      <c r="G142" s="239"/>
      <c r="H142" s="239"/>
      <c r="I142" s="239"/>
      <c r="J142" s="239"/>
    </row>
    <row r="143" spans="2:10" x14ac:dyDescent="0.25">
      <c r="E143" s="239"/>
      <c r="F143" s="239"/>
      <c r="G143" s="239"/>
      <c r="H143" s="239"/>
      <c r="I143" s="239"/>
      <c r="J143" s="239"/>
    </row>
    <row r="144" spans="2:10" x14ac:dyDescent="0.25">
      <c r="E144" s="239"/>
      <c r="F144" s="239"/>
      <c r="G144" s="239"/>
      <c r="H144" s="239"/>
      <c r="I144" s="239"/>
      <c r="J144" s="239"/>
    </row>
  </sheetData>
  <pageMargins left="0.75" right="0.75" top="1" bottom="1" header="0.5" footer="0.5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K32"/>
  <sheetViews>
    <sheetView showGridLines="0" zoomScale="80" zoomScaleNormal="80" workbookViewId="0"/>
  </sheetViews>
  <sheetFormatPr defaultRowHeight="15" x14ac:dyDescent="0.25"/>
  <cols>
    <col min="1" max="1" width="4.42578125" customWidth="1"/>
    <col min="2" max="2" width="32.140625" customWidth="1"/>
    <col min="3" max="3" width="38.28515625" customWidth="1"/>
    <col min="4" max="4" width="24.42578125" customWidth="1"/>
    <col min="5" max="5" width="8.5703125" customWidth="1"/>
    <col min="6" max="6" width="23.85546875" customWidth="1"/>
    <col min="7" max="7" width="31.140625" bestFit="1" customWidth="1"/>
    <col min="8" max="8" width="20.28515625" bestFit="1" customWidth="1"/>
    <col min="9" max="9" width="8.85546875" customWidth="1"/>
    <col min="10" max="10" width="23.85546875" customWidth="1"/>
    <col min="11" max="11" width="30.28515625" bestFit="1" customWidth="1"/>
    <col min="12" max="12" width="20.28515625" bestFit="1" customWidth="1"/>
    <col min="13" max="15" width="14.42578125" customWidth="1"/>
  </cols>
  <sheetData>
    <row r="3" spans="2:11" ht="20.25" x14ac:dyDescent="0.3">
      <c r="B3" s="1"/>
      <c r="C3" s="375" t="s">
        <v>262</v>
      </c>
      <c r="D3" s="375"/>
      <c r="G3" s="2"/>
      <c r="H3" s="2"/>
      <c r="I3" s="2"/>
      <c r="J3" s="2"/>
      <c r="K3" s="2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/>
      <c r="C5" s="1"/>
      <c r="D5" s="1"/>
      <c r="E5" s="1"/>
      <c r="F5" s="1"/>
      <c r="G5" s="1"/>
      <c r="H5" s="1"/>
      <c r="I5" s="1"/>
      <c r="J5" s="1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</row>
    <row r="7" spans="2:11" x14ac:dyDescent="0.25">
      <c r="B7" s="5" t="s">
        <v>242</v>
      </c>
      <c r="C7" s="3"/>
      <c r="D7" s="3"/>
    </row>
    <row r="8" spans="2:11" ht="15" customHeight="1" x14ac:dyDescent="0.25">
      <c r="B8" s="374" t="s">
        <v>0</v>
      </c>
      <c r="C8" s="374"/>
      <c r="D8" s="374"/>
    </row>
    <row r="9" spans="2:11" ht="16.5" x14ac:dyDescent="0.25">
      <c r="B9" s="6" t="s">
        <v>1</v>
      </c>
      <c r="C9" s="6" t="s">
        <v>2</v>
      </c>
      <c r="D9" s="6" t="s">
        <v>3</v>
      </c>
    </row>
    <row r="10" spans="2:11" x14ac:dyDescent="0.25">
      <c r="B10" s="7" t="s">
        <v>4</v>
      </c>
      <c r="C10" s="8">
        <v>2.14</v>
      </c>
      <c r="D10" s="8">
        <v>2.86</v>
      </c>
    </row>
    <row r="11" spans="2:11" x14ac:dyDescent="0.25">
      <c r="B11" s="7" t="s">
        <v>5</v>
      </c>
      <c r="C11" s="8">
        <v>4.01</v>
      </c>
      <c r="D11" s="8">
        <v>5.31</v>
      </c>
    </row>
    <row r="12" spans="2:11" x14ac:dyDescent="0.25">
      <c r="B12" s="7" t="s">
        <v>6</v>
      </c>
      <c r="C12" s="8">
        <v>5.25</v>
      </c>
      <c r="D12" s="8">
        <v>6.78</v>
      </c>
    </row>
    <row r="13" spans="2:11" x14ac:dyDescent="0.25">
      <c r="B13" s="7" t="s">
        <v>7</v>
      </c>
      <c r="C13" s="8">
        <v>10.02</v>
      </c>
      <c r="D13" s="8">
        <v>10.96</v>
      </c>
    </row>
    <row r="14" spans="2:11" x14ac:dyDescent="0.25">
      <c r="B14" s="7" t="s">
        <v>8</v>
      </c>
      <c r="C14" s="8">
        <v>12.09</v>
      </c>
      <c r="D14" s="8">
        <v>12.09</v>
      </c>
    </row>
    <row r="15" spans="2:11" x14ac:dyDescent="0.25">
      <c r="B15" s="7" t="s">
        <v>9</v>
      </c>
      <c r="C15" s="8">
        <v>13.25</v>
      </c>
      <c r="D15" s="8">
        <v>13.25</v>
      </c>
    </row>
    <row r="16" spans="2:11" x14ac:dyDescent="0.25">
      <c r="B16" s="3"/>
      <c r="C16" s="3"/>
      <c r="D16" s="3"/>
    </row>
    <row r="17" spans="2:4" ht="15" customHeight="1" x14ac:dyDescent="0.25">
      <c r="B17" s="374" t="s">
        <v>10</v>
      </c>
      <c r="C17" s="374"/>
      <c r="D17" s="374"/>
    </row>
    <row r="18" spans="2:4" ht="16.5" x14ac:dyDescent="0.25">
      <c r="B18" s="6" t="s">
        <v>1</v>
      </c>
      <c r="C18" s="6" t="s">
        <v>11</v>
      </c>
      <c r="D18" s="6" t="s">
        <v>12</v>
      </c>
    </row>
    <row r="19" spans="2:4" x14ac:dyDescent="0.25">
      <c r="B19" s="7" t="s">
        <v>4</v>
      </c>
      <c r="C19" s="8">
        <v>7.26</v>
      </c>
      <c r="D19" s="8">
        <v>7.26</v>
      </c>
    </row>
    <row r="20" spans="2:4" x14ac:dyDescent="0.25">
      <c r="B20" s="7" t="s">
        <v>13</v>
      </c>
      <c r="C20" s="8">
        <v>12</v>
      </c>
      <c r="D20" s="8">
        <v>10.94</v>
      </c>
    </row>
    <row r="21" spans="2:4" x14ac:dyDescent="0.25">
      <c r="B21" s="4"/>
      <c r="C21" s="4"/>
      <c r="D21" s="4"/>
    </row>
    <row r="22" spans="2:4" ht="15" customHeight="1" x14ac:dyDescent="0.25"/>
    <row r="23" spans="2:4" ht="15" customHeight="1" x14ac:dyDescent="0.25"/>
    <row r="25" spans="2:4" x14ac:dyDescent="0.25">
      <c r="B25" s="4"/>
      <c r="C25" s="4"/>
      <c r="D25" s="4"/>
    </row>
    <row r="26" spans="2:4" ht="15" customHeight="1" x14ac:dyDescent="0.25"/>
    <row r="30" spans="2:4" ht="15" customHeight="1" x14ac:dyDescent="0.25"/>
    <row r="32" spans="2:4" ht="15" customHeight="1" x14ac:dyDescent="0.25"/>
  </sheetData>
  <mergeCells count="3">
    <mergeCell ref="B8:D8"/>
    <mergeCell ref="B17:D17"/>
    <mergeCell ref="C3:D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6"/>
  <sheetViews>
    <sheetView showGridLines="0" zoomScale="80" zoomScaleNormal="80" workbookViewId="0"/>
  </sheetViews>
  <sheetFormatPr defaultColWidth="20" defaultRowHeight="14.25" x14ac:dyDescent="0.2"/>
  <cols>
    <col min="1" max="1" width="11.85546875" style="10" customWidth="1"/>
    <col min="2" max="2" width="39.85546875" style="10" customWidth="1"/>
    <col min="3" max="3" width="20.5703125" style="10" customWidth="1"/>
    <col min="4" max="4" width="17.28515625" style="10" bestFit="1" customWidth="1"/>
    <col min="5" max="5" width="19.85546875" style="10" customWidth="1"/>
    <col min="6" max="6" width="12.42578125" style="10" customWidth="1"/>
    <col min="7" max="8" width="15.42578125" style="10" customWidth="1"/>
    <col min="9" max="9" width="13.140625" style="10" customWidth="1"/>
    <col min="10" max="10" width="10.85546875" style="10" customWidth="1"/>
    <col min="11" max="11" width="11.7109375" style="10" customWidth="1"/>
    <col min="12" max="12" width="14.85546875" style="10" customWidth="1"/>
    <col min="13" max="13" width="16" style="10" customWidth="1"/>
    <col min="14" max="14" width="18.7109375" style="10" customWidth="1"/>
    <col min="15" max="15" width="11" style="10" customWidth="1"/>
    <col min="16" max="17" width="12.28515625" style="10" customWidth="1"/>
    <col min="18" max="18" width="13.140625" style="10" customWidth="1"/>
    <col min="19" max="26" width="0" style="10" hidden="1" customWidth="1"/>
    <col min="27" max="16384" width="20" style="10"/>
  </cols>
  <sheetData>
    <row r="1" spans="1:6" x14ac:dyDescent="0.2">
      <c r="A1" s="9"/>
      <c r="B1" s="9"/>
      <c r="C1" s="9"/>
      <c r="D1" s="9"/>
      <c r="E1" s="9"/>
    </row>
    <row r="2" spans="1:6" x14ac:dyDescent="0.2">
      <c r="A2" s="9"/>
      <c r="B2" s="9"/>
      <c r="C2" s="9"/>
      <c r="D2" s="9"/>
      <c r="E2" s="9"/>
    </row>
    <row r="3" spans="1:6" ht="18" x14ac:dyDescent="0.2">
      <c r="A3" s="9"/>
      <c r="B3" s="9"/>
      <c r="C3" s="376" t="s">
        <v>218</v>
      </c>
      <c r="D3" s="376"/>
      <c r="E3" s="376"/>
    </row>
    <row r="4" spans="1:6" x14ac:dyDescent="0.2">
      <c r="A4" s="9"/>
      <c r="B4" s="9"/>
      <c r="C4" s="9"/>
      <c r="D4" s="9"/>
      <c r="E4" s="9"/>
    </row>
    <row r="5" spans="1:6" x14ac:dyDescent="0.2">
      <c r="A5" s="9"/>
      <c r="B5" s="9"/>
      <c r="C5" s="9"/>
      <c r="D5" s="9"/>
      <c r="E5" s="9"/>
    </row>
    <row r="6" spans="1:6" x14ac:dyDescent="0.2">
      <c r="A6" s="9"/>
      <c r="B6" s="9"/>
      <c r="C6" s="9"/>
      <c r="D6" s="9"/>
      <c r="E6" s="9"/>
    </row>
    <row r="7" spans="1:6" ht="15" x14ac:dyDescent="0.2">
      <c r="A7" s="9"/>
      <c r="B7" s="377" t="s">
        <v>14</v>
      </c>
      <c r="C7" s="378"/>
      <c r="D7" s="378"/>
      <c r="E7" s="379"/>
    </row>
    <row r="8" spans="1:6" x14ac:dyDescent="0.2">
      <c r="A8" s="9"/>
      <c r="B8" s="11" t="s">
        <v>15</v>
      </c>
      <c r="C8" s="11" t="s">
        <v>16</v>
      </c>
      <c r="D8" s="12" t="s">
        <v>17</v>
      </c>
      <c r="E8" s="12" t="s">
        <v>18</v>
      </c>
    </row>
    <row r="9" spans="1:6" x14ac:dyDescent="0.2">
      <c r="A9" s="9"/>
      <c r="B9" s="13" t="s">
        <v>219</v>
      </c>
      <c r="C9" s="14">
        <v>4635.75</v>
      </c>
      <c r="D9" s="14">
        <v>4493.17</v>
      </c>
      <c r="E9" s="14">
        <v>617.04399999999998</v>
      </c>
      <c r="F9" s="15"/>
    </row>
    <row r="10" spans="1:6" x14ac:dyDescent="0.2">
      <c r="A10" s="9"/>
      <c r="B10" s="16" t="s">
        <v>220</v>
      </c>
      <c r="C10" s="14">
        <v>4705.75</v>
      </c>
      <c r="D10" s="14">
        <v>4550.2299999999996</v>
      </c>
      <c r="E10" s="14">
        <v>624.05999999999995</v>
      </c>
      <c r="F10" s="15"/>
    </row>
    <row r="11" spans="1:6" x14ac:dyDescent="0.2">
      <c r="A11" s="9"/>
      <c r="B11" s="13" t="s">
        <v>221</v>
      </c>
      <c r="C11" s="14">
        <v>4750.45</v>
      </c>
      <c r="D11" s="14">
        <v>4591.18</v>
      </c>
      <c r="E11" s="14">
        <v>632.11400000000003</v>
      </c>
      <c r="F11" s="15"/>
    </row>
    <row r="12" spans="1:6" x14ac:dyDescent="0.2">
      <c r="A12" s="9"/>
      <c r="B12" s="13" t="s">
        <v>222</v>
      </c>
      <c r="C12" s="14">
        <v>4771.3599999999997</v>
      </c>
      <c r="D12" s="14">
        <v>4610.92</v>
      </c>
      <c r="E12" s="14">
        <v>635.34900000000005</v>
      </c>
      <c r="F12" s="15"/>
    </row>
    <row r="13" spans="1:6" x14ac:dyDescent="0.2">
      <c r="A13" s="9"/>
      <c r="B13" s="17" t="s">
        <v>223</v>
      </c>
      <c r="C13" s="14">
        <v>4801.8900000000003</v>
      </c>
      <c r="D13" s="14">
        <v>4639.05</v>
      </c>
      <c r="E13" s="14">
        <v>637.43399999999997</v>
      </c>
      <c r="F13" s="15"/>
    </row>
    <row r="14" spans="1:6" x14ac:dyDescent="0.2">
      <c r="A14" s="9"/>
      <c r="B14" s="13" t="s">
        <v>224</v>
      </c>
      <c r="C14" s="14">
        <v>4848.95</v>
      </c>
      <c r="D14" s="14">
        <v>4675.2299999999996</v>
      </c>
      <c r="E14" s="14">
        <v>642.65099999999995</v>
      </c>
      <c r="F14" s="15"/>
    </row>
    <row r="15" spans="1:6" x14ac:dyDescent="0.2">
      <c r="A15" s="9"/>
      <c r="B15" s="13" t="s">
        <v>225</v>
      </c>
      <c r="C15" s="14">
        <v>4871.74</v>
      </c>
      <c r="D15" s="14">
        <v>4691.59</v>
      </c>
      <c r="E15" s="14">
        <v>653.49599999999998</v>
      </c>
      <c r="F15" s="15"/>
    </row>
    <row r="16" spans="1:6" x14ac:dyDescent="0.2">
      <c r="A16" s="9"/>
      <c r="B16" s="17" t="s">
        <v>226</v>
      </c>
      <c r="C16" s="14">
        <v>4902.92</v>
      </c>
      <c r="D16" s="14">
        <v>4715.99</v>
      </c>
      <c r="E16" s="14">
        <v>654.64099999999996</v>
      </c>
      <c r="F16" s="15"/>
    </row>
    <row r="17" spans="1:26" x14ac:dyDescent="0.2">
      <c r="A17" s="9"/>
      <c r="B17" s="13" t="s">
        <v>227</v>
      </c>
      <c r="C17" s="14">
        <v>4918.12</v>
      </c>
      <c r="D17" s="14">
        <v>4736.74</v>
      </c>
      <c r="E17" s="14">
        <v>655.60199999999998</v>
      </c>
      <c r="F17" s="15"/>
    </row>
    <row r="18" spans="1:26" x14ac:dyDescent="0.2">
      <c r="A18" s="9"/>
      <c r="B18" s="13" t="s">
        <v>228</v>
      </c>
      <c r="C18" s="14">
        <v>4922.05</v>
      </c>
      <c r="D18" s="14">
        <v>4740.53</v>
      </c>
      <c r="E18" s="14">
        <v>656.89400000000001</v>
      </c>
      <c r="F18" s="15"/>
    </row>
    <row r="19" spans="1:26" x14ac:dyDescent="0.2">
      <c r="A19" s="9"/>
      <c r="B19" s="17" t="s">
        <v>229</v>
      </c>
      <c r="C19" s="14">
        <v>4930.42</v>
      </c>
      <c r="D19" s="14">
        <v>4752.8599999999997</v>
      </c>
      <c r="E19" s="14">
        <v>657.92700000000002</v>
      </c>
      <c r="F19" s="15"/>
    </row>
    <row r="20" spans="1:26" x14ac:dyDescent="0.2">
      <c r="A20" s="9"/>
      <c r="B20" s="13" t="s">
        <v>230</v>
      </c>
      <c r="C20" s="14">
        <v>4933.87</v>
      </c>
      <c r="D20" s="14">
        <v>4761.42</v>
      </c>
      <c r="E20" s="14">
        <v>657.75199999999995</v>
      </c>
      <c r="F20" s="15"/>
    </row>
    <row r="21" spans="1:26" x14ac:dyDescent="0.2">
      <c r="A21" s="9"/>
      <c r="B21" s="13" t="s">
        <v>231</v>
      </c>
      <c r="C21" s="14">
        <v>4940.78</v>
      </c>
      <c r="D21" s="14">
        <v>4775.7</v>
      </c>
      <c r="E21" s="14">
        <v>661.30399999999997</v>
      </c>
      <c r="F21" s="15"/>
    </row>
    <row r="22" spans="1:26" ht="17.100000000000001" customHeight="1" x14ac:dyDescent="0.2">
      <c r="A22" s="9"/>
      <c r="B22" s="19" t="s">
        <v>19</v>
      </c>
      <c r="C22" s="20">
        <f>C21/C9-1</f>
        <v>6.5799493070161086E-2</v>
      </c>
      <c r="D22" s="20">
        <f>D21/D9-1</f>
        <v>6.2879882132213849E-2</v>
      </c>
      <c r="E22" s="20">
        <f>E21/E9-1</f>
        <v>7.1729082528960708E-2</v>
      </c>
      <c r="F22" s="21"/>
    </row>
    <row r="23" spans="1:26" x14ac:dyDescent="0.2">
      <c r="A23" s="9"/>
      <c r="B23" s="22" t="s">
        <v>20</v>
      </c>
      <c r="C23" s="9"/>
      <c r="D23" s="9"/>
      <c r="E23" s="9"/>
    </row>
    <row r="24" spans="1:26" ht="37.5" customHeight="1" x14ac:dyDescent="0.2">
      <c r="A24" s="9"/>
      <c r="B24" s="9"/>
      <c r="C24" s="9"/>
      <c r="D24" s="9"/>
      <c r="E24" s="9"/>
      <c r="S24" s="23">
        <v>39722</v>
      </c>
      <c r="T24" s="24">
        <v>2874.43</v>
      </c>
      <c r="V24" s="23">
        <v>39722</v>
      </c>
      <c r="W24" s="24">
        <v>2955.28</v>
      </c>
      <c r="Y24" s="23">
        <v>39722</v>
      </c>
      <c r="Z24" s="24">
        <v>410.524</v>
      </c>
    </row>
    <row r="25" spans="1:26" x14ac:dyDescent="0.2">
      <c r="A25" s="9"/>
      <c r="B25" s="9"/>
      <c r="C25" s="9"/>
      <c r="D25" s="9"/>
      <c r="E25" s="9"/>
      <c r="S25" s="23">
        <v>39753</v>
      </c>
      <c r="T25" s="24">
        <v>2884.78</v>
      </c>
      <c r="V25" s="23">
        <v>39753</v>
      </c>
      <c r="W25" s="24">
        <v>2966.51</v>
      </c>
      <c r="Y25" s="23">
        <v>39753</v>
      </c>
      <c r="Z25" s="24">
        <v>412.10399999999998</v>
      </c>
    </row>
    <row r="26" spans="1:26" x14ac:dyDescent="0.2">
      <c r="S26" s="23">
        <v>39783</v>
      </c>
      <c r="T26" s="24">
        <v>2892.86</v>
      </c>
      <c r="V26" s="23">
        <v>39783</v>
      </c>
      <c r="W26" s="24">
        <v>2975.11</v>
      </c>
      <c r="Y26" s="23">
        <v>39783</v>
      </c>
      <c r="Z26" s="24">
        <v>411.57499999999999</v>
      </c>
    </row>
  </sheetData>
  <mergeCells count="2">
    <mergeCell ref="C3:E3"/>
    <mergeCell ref="B7:E7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0" ma:contentTypeDescription="Crie um novo documento." ma:contentTypeScope="" ma:versionID="cf5a574944e89fcaf5f9b01f75236d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254facfb49158516141f197332d4c7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CDF554-9A32-4731-AFD2-15C89531B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5C07B-A263-424C-869C-57429B3A7A91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Tarifas 2017</vt:lpstr>
      <vt:lpstr>IRT 2017</vt:lpstr>
      <vt:lpstr>VPA 2017</vt:lpstr>
      <vt:lpstr>VPB 2017</vt:lpstr>
      <vt:lpstr>CF - Parcela A</vt:lpstr>
      <vt:lpstr>CF - Outros</vt:lpstr>
      <vt:lpstr>2ª RTP - Reposic Tarifário</vt:lpstr>
      <vt:lpstr>Revisão_homologada</vt:lpstr>
      <vt:lpstr>Indices_2016</vt:lpstr>
      <vt:lpstr>Volume_2016</vt:lpstr>
      <vt:lpstr>Bonus_Residencial_Normal</vt:lpstr>
      <vt:lpstr>Bonus_Residencial_Popular</vt:lpstr>
      <vt:lpstr>Bonus_Comercial</vt:lpstr>
      <vt:lpstr>Bonus_Industrial</vt:lpstr>
      <vt:lpstr>Bonus_Total</vt:lpstr>
      <vt:lpstr>Energia_Eletrica_2016</vt:lpstr>
      <vt:lpstr>Proporção de Custos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cassio.leandro</dc:creator>
  <cp:lastModifiedBy>Cássio Leandro Cossenzo</cp:lastModifiedBy>
  <dcterms:created xsi:type="dcterms:W3CDTF">2013-12-30T11:25:26Z</dcterms:created>
  <dcterms:modified xsi:type="dcterms:W3CDTF">2017-05-02T14:09:36Z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</Properties>
</file>