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"/>
    </mc:Choice>
  </mc:AlternateContent>
  <xr:revisionPtr revIDLastSave="0" documentId="13_ncr:1_{4FADBBBB-76EA-4F8C-873D-CADCB8901F30}" xr6:coauthVersionLast="47" xr6:coauthVersionMax="47" xr10:uidLastSave="{00000000-0000-0000-0000-000000000000}"/>
  <bookViews>
    <workbookView showSheetTabs="0" xWindow="-120" yWindow="-120" windowWidth="20730" windowHeight="11160" tabRatio="910" xr2:uid="{00000000-000D-0000-FFFF-FFFF00000000}"/>
  </bookViews>
  <sheets>
    <sheet name="Fórmulas" sheetId="30" r:id="rId1"/>
    <sheet name="Parâmetros" sheetId="32" r:id="rId2"/>
    <sheet name="Índices_2021" sheetId="35" r:id="rId3"/>
    <sheet name="Índices_2021 - Gráfico" sheetId="34" r:id="rId4"/>
    <sheet name="Bônus-Desconto" sheetId="36" r:id="rId5"/>
    <sheet name="Bônus-Desconto - Gráfico" sheetId="37" r:id="rId6"/>
    <sheet name="Volume_2021" sheetId="4" r:id="rId7"/>
    <sheet name="VPA 2022" sheetId="13" r:id="rId8"/>
    <sheet name="VPB 2022 " sheetId="41" r:id="rId9"/>
    <sheet name="VPB 2022 - Gráficos" sheetId="14" r:id="rId10"/>
    <sheet name="CF - 2022" sheetId="39" r:id="rId11"/>
    <sheet name="CF - Outros 2022" sheetId="40" r:id="rId12"/>
    <sheet name="Tarifa de Contingência" sheetId="42" r:id="rId13"/>
    <sheet name="RTA 2022" sheetId="15" r:id="rId14"/>
    <sheet name="Tarifas 2022" sheetId="44" r:id="rId15"/>
    <sheet name="RTP 2020" sheetId="27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R57_2007" localSheetId="15">[1]Parâmetros!#REF!</definedName>
    <definedName name="_R57_2007">[1]Parâmetros!#REF!</definedName>
    <definedName name="AdicionalIR" localSheetId="15">#REF!</definedName>
    <definedName name="AdicionalIR">#REF!</definedName>
    <definedName name="AlugCentral">'[2]E-AdmSist'!$D$9</definedName>
    <definedName name="AlugCom">'[2]E-AdmSist'!$D$11</definedName>
    <definedName name="AlugETA_ETE">'[2]E-AdmSist'!$D$12</definedName>
    <definedName name="AlugPA">'[2]E-AdmSist'!$D$10</definedName>
    <definedName name="_xlnm.Print_Area" localSheetId="13">'RTA 2022'!$AP$19:$AR$22</definedName>
    <definedName name="_xlnm.Print_Area" localSheetId="15">#REF!</definedName>
    <definedName name="_xlnm.Print_Area" localSheetId="12">'Tarifa de Contingência'!$AP$19:$AR$22</definedName>
    <definedName name="_xlnm.Print_Area" localSheetId="14">'Tarifas 2022'!$AK$19:$AM$22</definedName>
    <definedName name="_xlnm.Print_Area">#REF!</definedName>
    <definedName name="AreaEst">'[2]E-AdmSist'!$I$9</definedName>
    <definedName name="AreaLabC">'[2]E-AdmSist'!$D$21</definedName>
    <definedName name="AreaOficC">'[2]E-AdmSist'!$D$22</definedName>
    <definedName name="B" localSheetId="15">[3]DRE!#REF!</definedName>
    <definedName name="B">[3]DRE!#REF!</definedName>
    <definedName name="BaseIR" localSheetId="15">#REF!</definedName>
    <definedName name="BaseIR">#REF!</definedName>
    <definedName name="Beneficio">'[2]P-Indices'!$D$20</definedName>
    <definedName name="Caixa" localSheetId="15">#REF!</definedName>
    <definedName name="Caixa">#REF!</definedName>
    <definedName name="Capacitação">'[2]P-Indices'!$D$18</definedName>
    <definedName name="CAPM" localSheetId="15">#REF!</definedName>
    <definedName name="CAPM">#REF!</definedName>
    <definedName name="CRA">'[2]C-Teleatendimento'!$D$9</definedName>
    <definedName name="CS_NEG" localSheetId="15">#REF!</definedName>
    <definedName name="CS_NEG">#REF!</definedName>
    <definedName name="CS_PERC" localSheetId="15">#REF!</definedName>
    <definedName name="CS_PERC">#REF!</definedName>
    <definedName name="CTIPO" localSheetId="15">#REF!</definedName>
    <definedName name="CTIPO">#REF!</definedName>
    <definedName name="CustAnalise">'[2]E-AdmSist'!$D$23</definedName>
    <definedName name="CustElet">'[2]E-AdmSist'!$D$18</definedName>
    <definedName name="CustEst">'[2]E-AdmSist'!$I$10</definedName>
    <definedName name="CustLimp">'[2]E-AdmSist'!$D$19</definedName>
    <definedName name="CustMovel">'[2]E-AdmSist'!$D$15</definedName>
    <definedName name="CustTel">'[2]E-AdmSist'!$D$17</definedName>
    <definedName name="Decimo_Terceiro">'[2]P-Indices'!$D$12</definedName>
    <definedName name="Deposito">'[2]E-AdmSist'!$D$16</definedName>
    <definedName name="dia_TrabMesCom">'[2]P-Indices'!$D$25</definedName>
    <definedName name="dia_TrabSem">'[2]P-Indices'!$D$24</definedName>
    <definedName name="Equipes">'[2]P-Equipes'!$B$11:$AV$105</definedName>
    <definedName name="FC_ElevEsg">'[2]E-Elevatorias'!$M$176</definedName>
    <definedName name="FC_ETE">'[2]E-ETA-ETE'!$J$86</definedName>
    <definedName name="fdgf">'[2]P-Indices'!$D$15</definedName>
    <definedName name="Ferias">'[2]P-Indices'!$D$13</definedName>
    <definedName name="FGTS">'[2]P-Indices'!$D$10</definedName>
    <definedName name="FreqAtCom">'[2]E-Estrutura'!$D$458</definedName>
    <definedName name="G" localSheetId="15">#REF!</definedName>
    <definedName name="G">#REF!</definedName>
    <definedName name="gfhfgh">'[2]E-AdmSist'!$D$44</definedName>
    <definedName name="GR" localSheetId="15">#REF!</definedName>
    <definedName name="GR">#REF!</definedName>
    <definedName name="h_ElevEnerg">'[2]E-Elevatorias'!$D$10</definedName>
    <definedName name="h_OpEnerg">'[2]E-ETA-ETE'!$D$34</definedName>
    <definedName name="h_TrabDia">'[2]P-Indices'!$D$22</definedName>
    <definedName name="h_TrabOeM">'[2]P-Indices'!$D$23</definedName>
    <definedName name="h_VecDia">'[2]P-Indices'!$D$28</definedName>
    <definedName name="HoraExtra">'[2]P-Indices'!$D$19</definedName>
    <definedName name="IGPM_1">[2]Controle!$D$13</definedName>
    <definedName name="IGPM_2">[2]Controle!$D$16</definedName>
    <definedName name="Inativos">'[2]E-Economias'!$L$26</definedName>
    <definedName name="inflation" localSheetId="15">#REF!</definedName>
    <definedName name="inflation">#REF!</definedName>
    <definedName name="Insalub_Max">'[2]P-Indices'!$D$17</definedName>
    <definedName name="Insalub_Med">'[2]P-Indices'!$D$16</definedName>
    <definedName name="Insalub_Min">'[2]P-Indices'!$D$15</definedName>
    <definedName name="INSS">'[2]P-Indices'!$D$9</definedName>
    <definedName name="InsumEscrit">'[2]E-AdmSist'!$D$20</definedName>
    <definedName name="InvHardPC">'[2]E-AdmSist'!$D$44</definedName>
    <definedName name="InvSoftPC">'[2]E-AdmSist'!$D$43</definedName>
    <definedName name="IPCA_1">[2]Controle!$D$12</definedName>
    <definedName name="IPCA_2">[2]Controle!$D$15</definedName>
    <definedName name="ir_perpetuo" localSheetId="15">#REF!</definedName>
    <definedName name="ir_perpetuo">#REF!</definedName>
    <definedName name="Lig_Ativ_Esg">'[2]E-Economias'!$J$39</definedName>
    <definedName name="Ligacoes_Tot">'[2]E-Economias'!$J$26</definedName>
    <definedName name="Lucro" localSheetId="15">#REF!</definedName>
    <definedName name="Lucro">#REF!</definedName>
    <definedName name="m2_Acom">'[2]E-AdmSist'!$D$14</definedName>
    <definedName name="m2_Indiv">'[2]E-AdmSist'!$D$13</definedName>
    <definedName name="Maquina">'[2]P-Veiculos'!$C$33:$W$47</definedName>
    <definedName name="MESES_A_PROJETAR" localSheetId="15">#REF!</definedName>
    <definedName name="MESES_A_PROJETAR">#REF!</definedName>
    <definedName name="MobDCom">'[2]E-AdmSist'!$I$13</definedName>
    <definedName name="MobDEng">'[2]E-AdmSist'!$I$15</definedName>
    <definedName name="MobDGest">'[2]E-AdmSist'!$I$16</definedName>
    <definedName name="MobPres">'[2]E-AdmSist'!$I$12</definedName>
    <definedName name="model" localSheetId="15">[4]Controle!#REF!</definedName>
    <definedName name="model">[4]Controle!#REF!</definedName>
    <definedName name="moeda" localSheetId="15">#REF!</definedName>
    <definedName name="moeda">#REF!</definedName>
    <definedName name="o">'[5]T-Bonds'!$E$6</definedName>
    <definedName name="oi" localSheetId="15">#REF!</definedName>
    <definedName name="oi">#REF!</definedName>
    <definedName name="Pensao">'[2]P-Indices'!$D$21</definedName>
    <definedName name="PeriodoTaxa" localSheetId="15">#REF!</definedName>
    <definedName name="PeriodoTaxa">#REF!</definedName>
    <definedName name="perpetuo" localSheetId="15">[3]DRE!#REF!</definedName>
    <definedName name="perpetuo">[3]DRE!#REF!</definedName>
    <definedName name="ponderada_abaixo" localSheetId="15">#REF!</definedName>
    <definedName name="ponderada_abaixo">#REF!</definedName>
    <definedName name="ponderada_acima" localSheetId="15">#REF!</definedName>
    <definedName name="ponderada_acima">#REF!</definedName>
    <definedName name="ponderada_simples" localSheetId="15">#REF!</definedName>
    <definedName name="ponderada_simples">#REF!</definedName>
    <definedName name="PREJFISC_ACUM" localSheetId="15">#REF!</definedName>
    <definedName name="PREJFISC_ACUM">#REF!</definedName>
    <definedName name="ProdQuim">'[2]E-ETA-ETE'!$C$9:$D$29</definedName>
    <definedName name="SalarioMinimo">'[2]P-Indices'!$D$11</definedName>
    <definedName name="Salarios">'[2]P-Salarios'!$C$9:$V$60</definedName>
    <definedName name="sem_TrabAno">'[2]P-Indices'!$D$26</definedName>
    <definedName name="sem_TrabVEC">'[2]P-Indices'!$D$27</definedName>
    <definedName name="simple" localSheetId="15">[4]BETA!#REF!</definedName>
    <definedName name="simple">[4]BETA!#REF!</definedName>
    <definedName name="TarifConsElev">'[2]E-Elevatorias'!$D$9</definedName>
    <definedName name="TarifConsOp">'[2]E-ETA-ETE'!$D$33</definedName>
    <definedName name="TarifDemElev">'[2]E-Elevatorias'!$D$8</definedName>
    <definedName name="TarifDemOp">'[2]E-ETA-ETE'!$D$32</definedName>
    <definedName name="TaxaDesconto" localSheetId="15">#REF!</definedName>
    <definedName name="TaxaDesconto">#REF!</definedName>
    <definedName name="_xlnm.Print_Titles" localSheetId="15">#REF!</definedName>
    <definedName name="_xlnm.Print_Titles">#REF!</definedName>
    <definedName name="TMA">'[2]E-Estrutura'!$D$457</definedName>
    <definedName name="Tx_Desc" localSheetId="15">[3]DRE!#REF!</definedName>
    <definedName name="Tx_Desc">[3]DRE!#REF!</definedName>
    <definedName name="Veiculos">'[2]P-Veiculos'!$C$13:$W$27</definedName>
    <definedName name="VidaHard">'[2]E-AdmSist'!$E$34</definedName>
    <definedName name="VidaHardPC">'[2]E-AdmSist'!$E$36</definedName>
    <definedName name="VidaSoft">'[2]E-AdmSist'!$E$33</definedName>
    <definedName name="VidaSoftPC">'[2]E-AdmSist'!$E$35</definedName>
    <definedName name="WACC">[2]Controle!$D$9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3" l="1"/>
  <c r="D36" i="39"/>
  <c r="D35" i="39"/>
  <c r="D34" i="39"/>
  <c r="D33" i="39"/>
  <c r="E11" i="40"/>
  <c r="E17" i="40"/>
  <c r="E32" i="40"/>
  <c r="E37" i="40"/>
  <c r="E22" i="40"/>
  <c r="C26" i="42"/>
  <c r="C28" i="42"/>
  <c r="D10" i="15"/>
  <c r="L20" i="36"/>
  <c r="L21" i="36"/>
  <c r="L22" i="36" s="1"/>
  <c r="H23" i="39" l="1"/>
  <c r="F17" i="39" l="1"/>
  <c r="F16" i="39"/>
  <c r="F15" i="39"/>
  <c r="F13" i="39"/>
  <c r="F12" i="39"/>
  <c r="D38" i="39" l="1"/>
  <c r="D37" i="39"/>
  <c r="D39" i="39" l="1"/>
  <c r="F11" i="39" s="1"/>
  <c r="F23" i="39" s="1"/>
  <c r="C23" i="41" l="1"/>
  <c r="E15" i="41"/>
  <c r="E11" i="41"/>
  <c r="G16" i="41"/>
  <c r="G17" i="41"/>
  <c r="D16" i="41"/>
  <c r="E14" i="40" l="1"/>
  <c r="E15" i="40" s="1"/>
  <c r="F23" i="35" l="1"/>
  <c r="C32" i="13" l="1"/>
  <c r="E27" i="40" l="1"/>
  <c r="D17" i="15" l="1"/>
  <c r="D13" i="15"/>
  <c r="D20" i="15"/>
  <c r="P85" i="4" l="1"/>
  <c r="P89" i="4"/>
  <c r="P86" i="4"/>
  <c r="P75" i="4"/>
  <c r="P76" i="4"/>
  <c r="P77" i="4"/>
  <c r="P67" i="4"/>
  <c r="P68" i="4"/>
  <c r="P70" i="4"/>
  <c r="P66" i="4"/>
  <c r="P73" i="4" l="1"/>
  <c r="P83" i="4"/>
  <c r="P69" i="4"/>
  <c r="P71" i="4"/>
  <c r="P82" i="4"/>
  <c r="P74" i="4"/>
  <c r="P88" i="4"/>
  <c r="P79" i="4"/>
  <c r="P80" i="4"/>
  <c r="P87" i="4"/>
  <c r="P81" i="4"/>
  <c r="P52" i="4"/>
  <c r="P51" i="4"/>
  <c r="D49" i="4"/>
  <c r="F41" i="36" l="1"/>
  <c r="F42" i="36"/>
  <c r="F43" i="36"/>
  <c r="F44" i="36"/>
  <c r="F45" i="36"/>
  <c r="F46" i="36"/>
  <c r="F47" i="36"/>
  <c r="F48" i="36"/>
  <c r="F49" i="36"/>
  <c r="F50" i="36"/>
  <c r="F51" i="36"/>
  <c r="F52" i="36"/>
  <c r="G40" i="35" l="1"/>
  <c r="G47" i="35" s="1"/>
  <c r="D40" i="35"/>
  <c r="G48" i="35" s="1"/>
  <c r="C40" i="35"/>
  <c r="F48" i="35" s="1"/>
  <c r="F40" i="35"/>
  <c r="F47" i="35" s="1"/>
  <c r="E28" i="35"/>
  <c r="E29" i="35" s="1"/>
  <c r="E30" i="35" s="1"/>
  <c r="E31" i="35" s="1"/>
  <c r="E32" i="35" s="1"/>
  <c r="E33" i="35" s="1"/>
  <c r="E34" i="35" s="1"/>
  <c r="E35" i="35" s="1"/>
  <c r="E36" i="35" s="1"/>
  <c r="E37" i="35" s="1"/>
  <c r="E38" i="35" s="1"/>
  <c r="E39" i="35" s="1"/>
  <c r="H48" i="35" l="1"/>
  <c r="H47" i="35"/>
  <c r="H49" i="35" s="1"/>
  <c r="F12" i="41" l="1"/>
  <c r="D19" i="15" l="1"/>
  <c r="D18" i="15"/>
  <c r="D11" i="15"/>
  <c r="D12" i="15"/>
  <c r="C26" i="41" s="1"/>
  <c r="N90" i="4"/>
  <c r="O90" i="4"/>
  <c r="P48" i="4"/>
  <c r="P10" i="4"/>
  <c r="P11" i="4"/>
  <c r="P27" i="39"/>
  <c r="D14" i="15" l="1"/>
  <c r="O53" i="4"/>
  <c r="D29" i="39"/>
  <c r="D28" i="39"/>
  <c r="P12" i="4" l="1"/>
  <c r="I11" i="39" l="1"/>
  <c r="E35" i="39"/>
  <c r="F35" i="39"/>
  <c r="G35" i="39"/>
  <c r="H35" i="39"/>
  <c r="I35" i="39"/>
  <c r="J35" i="39"/>
  <c r="K35" i="39"/>
  <c r="L35" i="39"/>
  <c r="M35" i="39"/>
  <c r="N35" i="39"/>
  <c r="O35" i="39"/>
  <c r="E28" i="39"/>
  <c r="F28" i="39"/>
  <c r="G28" i="39"/>
  <c r="H28" i="39"/>
  <c r="I28" i="39"/>
  <c r="J28" i="39"/>
  <c r="K28" i="39"/>
  <c r="L28" i="39"/>
  <c r="M28" i="39"/>
  <c r="N28" i="39"/>
  <c r="O28" i="39"/>
  <c r="E29" i="39"/>
  <c r="F29" i="39"/>
  <c r="G29" i="39"/>
  <c r="H29" i="39"/>
  <c r="I29" i="39"/>
  <c r="I30" i="39" s="1"/>
  <c r="J29" i="39"/>
  <c r="J30" i="39" s="1"/>
  <c r="K29" i="39"/>
  <c r="L29" i="39"/>
  <c r="M29" i="39"/>
  <c r="N29" i="39"/>
  <c r="O29" i="39"/>
  <c r="C22" i="13"/>
  <c r="C21" i="13"/>
  <c r="D123" i="4"/>
  <c r="E123" i="4"/>
  <c r="F123" i="4"/>
  <c r="G123" i="4"/>
  <c r="H123" i="4"/>
  <c r="I123" i="4"/>
  <c r="J123" i="4"/>
  <c r="K123" i="4"/>
  <c r="L123" i="4"/>
  <c r="M123" i="4"/>
  <c r="N123" i="4"/>
  <c r="O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O120" i="4"/>
  <c r="N120" i="4"/>
  <c r="M120" i="4"/>
  <c r="O119" i="4"/>
  <c r="N119" i="4"/>
  <c r="M119" i="4"/>
  <c r="O118" i="4"/>
  <c r="N118" i="4"/>
  <c r="M118" i="4"/>
  <c r="O117" i="4"/>
  <c r="N117" i="4"/>
  <c r="M117" i="4"/>
  <c r="N116" i="4"/>
  <c r="O116" i="4"/>
  <c r="D117" i="4"/>
  <c r="E117" i="4"/>
  <c r="F117" i="4"/>
  <c r="G117" i="4"/>
  <c r="H117" i="4"/>
  <c r="I117" i="4"/>
  <c r="J117" i="4"/>
  <c r="K117" i="4"/>
  <c r="L117" i="4"/>
  <c r="D118" i="4"/>
  <c r="E118" i="4"/>
  <c r="F118" i="4"/>
  <c r="G118" i="4"/>
  <c r="H118" i="4"/>
  <c r="I118" i="4"/>
  <c r="J118" i="4"/>
  <c r="K118" i="4"/>
  <c r="L118" i="4"/>
  <c r="D119" i="4"/>
  <c r="E119" i="4"/>
  <c r="F119" i="4"/>
  <c r="G119" i="4"/>
  <c r="H119" i="4"/>
  <c r="I119" i="4"/>
  <c r="J119" i="4"/>
  <c r="K119" i="4"/>
  <c r="L119" i="4"/>
  <c r="D120" i="4"/>
  <c r="E120" i="4"/>
  <c r="F120" i="4"/>
  <c r="G120" i="4"/>
  <c r="H120" i="4"/>
  <c r="I120" i="4"/>
  <c r="J120" i="4"/>
  <c r="K120" i="4"/>
  <c r="L120" i="4"/>
  <c r="D116" i="4"/>
  <c r="D110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E110" i="4"/>
  <c r="F110" i="4"/>
  <c r="G110" i="4"/>
  <c r="H110" i="4"/>
  <c r="I110" i="4"/>
  <c r="J110" i="4"/>
  <c r="K110" i="4"/>
  <c r="L110" i="4"/>
  <c r="M110" i="4"/>
  <c r="N110" i="4"/>
  <c r="O110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E103" i="4"/>
  <c r="F103" i="4"/>
  <c r="G103" i="4"/>
  <c r="H103" i="4"/>
  <c r="I103" i="4"/>
  <c r="J103" i="4"/>
  <c r="K103" i="4"/>
  <c r="L103" i="4"/>
  <c r="M103" i="4"/>
  <c r="N103" i="4"/>
  <c r="O103" i="4"/>
  <c r="D103" i="4"/>
  <c r="E97" i="4"/>
  <c r="F97" i="4"/>
  <c r="G97" i="4"/>
  <c r="H97" i="4"/>
  <c r="I97" i="4"/>
  <c r="J97" i="4"/>
  <c r="K97" i="4"/>
  <c r="L97" i="4"/>
  <c r="M97" i="4"/>
  <c r="N97" i="4"/>
  <c r="O97" i="4"/>
  <c r="E98" i="4"/>
  <c r="F98" i="4"/>
  <c r="G98" i="4"/>
  <c r="H98" i="4"/>
  <c r="I98" i="4"/>
  <c r="J98" i="4"/>
  <c r="K98" i="4"/>
  <c r="L98" i="4"/>
  <c r="M98" i="4"/>
  <c r="N98" i="4"/>
  <c r="O98" i="4"/>
  <c r="E99" i="4"/>
  <c r="F99" i="4"/>
  <c r="G99" i="4"/>
  <c r="H99" i="4"/>
  <c r="I99" i="4"/>
  <c r="J99" i="4"/>
  <c r="K99" i="4"/>
  <c r="L99" i="4"/>
  <c r="M99" i="4"/>
  <c r="N99" i="4"/>
  <c r="O99" i="4"/>
  <c r="E100" i="4"/>
  <c r="F100" i="4"/>
  <c r="G100" i="4"/>
  <c r="H100" i="4"/>
  <c r="I100" i="4"/>
  <c r="J100" i="4"/>
  <c r="K100" i="4"/>
  <c r="L100" i="4"/>
  <c r="M100" i="4"/>
  <c r="N100" i="4"/>
  <c r="O100" i="4"/>
  <c r="E101" i="4"/>
  <c r="F101" i="4"/>
  <c r="G101" i="4"/>
  <c r="H101" i="4"/>
  <c r="I101" i="4"/>
  <c r="J101" i="4"/>
  <c r="K101" i="4"/>
  <c r="L101" i="4"/>
  <c r="M101" i="4"/>
  <c r="N101" i="4"/>
  <c r="O101" i="4"/>
  <c r="N96" i="4"/>
  <c r="E96" i="4"/>
  <c r="F96" i="4"/>
  <c r="G96" i="4"/>
  <c r="H96" i="4"/>
  <c r="I96" i="4"/>
  <c r="J96" i="4"/>
  <c r="K96" i="4"/>
  <c r="L96" i="4"/>
  <c r="M96" i="4"/>
  <c r="O96" i="4"/>
  <c r="D97" i="4"/>
  <c r="D98" i="4"/>
  <c r="D99" i="4"/>
  <c r="D100" i="4"/>
  <c r="D101" i="4"/>
  <c r="D96" i="4"/>
  <c r="N84" i="4"/>
  <c r="O84" i="4"/>
  <c r="N78" i="4"/>
  <c r="O78" i="4"/>
  <c r="N72" i="4"/>
  <c r="O72" i="4"/>
  <c r="N65" i="4"/>
  <c r="N91" i="4" s="1"/>
  <c r="O65" i="4"/>
  <c r="M65" i="4"/>
  <c r="N53" i="4"/>
  <c r="M53" i="4"/>
  <c r="N49" i="4"/>
  <c r="O49" i="4"/>
  <c r="M49" i="4"/>
  <c r="P47" i="4"/>
  <c r="P46" i="4"/>
  <c r="P45" i="4"/>
  <c r="P44" i="4"/>
  <c r="P39" i="4"/>
  <c r="P40" i="4"/>
  <c r="P41" i="4"/>
  <c r="P42" i="4"/>
  <c r="P38" i="4"/>
  <c r="P32" i="4"/>
  <c r="O37" i="4"/>
  <c r="M24" i="4"/>
  <c r="P33" i="4"/>
  <c r="P34" i="4"/>
  <c r="P35" i="4"/>
  <c r="P36" i="4"/>
  <c r="P30" i="4"/>
  <c r="E43" i="4"/>
  <c r="F43" i="4"/>
  <c r="G43" i="4"/>
  <c r="H43" i="4"/>
  <c r="I43" i="4"/>
  <c r="J43" i="4"/>
  <c r="K43" i="4"/>
  <c r="L43" i="4"/>
  <c r="M43" i="4"/>
  <c r="N43" i="4"/>
  <c r="O43" i="4"/>
  <c r="D43" i="4"/>
  <c r="P26" i="4"/>
  <c r="P27" i="4"/>
  <c r="P28" i="4"/>
  <c r="P29" i="4"/>
  <c r="P25" i="4"/>
  <c r="P19" i="4"/>
  <c r="P20" i="4"/>
  <c r="P21" i="4"/>
  <c r="P22" i="4"/>
  <c r="P23" i="4"/>
  <c r="P18" i="4"/>
  <c r="E37" i="4"/>
  <c r="F37" i="4"/>
  <c r="G37" i="4"/>
  <c r="H37" i="4"/>
  <c r="I37" i="4"/>
  <c r="J37" i="4"/>
  <c r="K37" i="4"/>
  <c r="L37" i="4"/>
  <c r="M37" i="4"/>
  <c r="N37" i="4"/>
  <c r="E31" i="4"/>
  <c r="F31" i="4"/>
  <c r="G31" i="4"/>
  <c r="H31" i="4"/>
  <c r="I31" i="4"/>
  <c r="J31" i="4"/>
  <c r="K31" i="4"/>
  <c r="L31" i="4"/>
  <c r="M31" i="4"/>
  <c r="N31" i="4"/>
  <c r="O31" i="4"/>
  <c r="E24" i="4"/>
  <c r="F24" i="4"/>
  <c r="G24" i="4"/>
  <c r="H24" i="4"/>
  <c r="I24" i="4"/>
  <c r="J24" i="4"/>
  <c r="K24" i="4"/>
  <c r="L24" i="4"/>
  <c r="N24" i="4"/>
  <c r="O24" i="4"/>
  <c r="D24" i="4"/>
  <c r="O127" i="4" l="1"/>
  <c r="M54" i="4"/>
  <c r="O54" i="4"/>
  <c r="N54" i="4"/>
  <c r="N129" i="4" s="1"/>
  <c r="O91" i="4"/>
  <c r="O32" i="39" s="1"/>
  <c r="N127" i="4"/>
  <c r="O102" i="4"/>
  <c r="M127" i="4"/>
  <c r="P43" i="4"/>
  <c r="C23" i="13"/>
  <c r="L30" i="39"/>
  <c r="H30" i="39"/>
  <c r="O30" i="39"/>
  <c r="G30" i="39"/>
  <c r="M30" i="39"/>
  <c r="N115" i="4"/>
  <c r="E30" i="39"/>
  <c r="K30" i="39"/>
  <c r="N30" i="39"/>
  <c r="F30" i="39"/>
  <c r="N32" i="39"/>
  <c r="O121" i="4"/>
  <c r="N102" i="4"/>
  <c r="N121" i="4"/>
  <c r="O115" i="4"/>
  <c r="N50" i="4"/>
  <c r="O50" i="4"/>
  <c r="M102" i="4"/>
  <c r="P24" i="4"/>
  <c r="M50" i="4"/>
  <c r="P28" i="39"/>
  <c r="P29" i="39"/>
  <c r="O109" i="4"/>
  <c r="N109" i="4"/>
  <c r="O129" i="4" l="1"/>
  <c r="N128" i="4"/>
  <c r="O128" i="4"/>
  <c r="H21" i="39"/>
  <c r="H22" i="39"/>
  <c r="P30" i="39"/>
  <c r="N31" i="39"/>
  <c r="N33" i="39" s="1"/>
  <c r="N34" i="39" s="1"/>
  <c r="N36" i="39" s="1"/>
  <c r="M31" i="39"/>
  <c r="O31" i="39"/>
  <c r="O33" i="39" s="1"/>
  <c r="O34" i="39" s="1"/>
  <c r="N38" i="39" l="1"/>
  <c r="O36" i="39"/>
  <c r="O37" i="39"/>
  <c r="O38" i="39"/>
  <c r="N37" i="39" l="1"/>
  <c r="N39" i="39" s="1"/>
  <c r="F21" i="39" s="1"/>
  <c r="O39" i="39"/>
  <c r="F22" i="39" s="1"/>
  <c r="E12" i="4" l="1"/>
  <c r="F12" i="4"/>
  <c r="G12" i="4"/>
  <c r="H12" i="4"/>
  <c r="I12" i="4"/>
  <c r="J12" i="4"/>
  <c r="K12" i="4"/>
  <c r="L12" i="4"/>
  <c r="M12" i="4"/>
  <c r="N12" i="4"/>
  <c r="O12" i="4"/>
  <c r="D12" i="4"/>
  <c r="G23" i="35"/>
  <c r="E23" i="35"/>
  <c r="F11" i="41" s="1"/>
  <c r="F15" i="41" l="1"/>
  <c r="F14" i="41"/>
  <c r="F13" i="41"/>
  <c r="E12" i="41" l="1"/>
  <c r="E13" i="41"/>
  <c r="E14" i="41"/>
  <c r="G11" i="41"/>
  <c r="G15" i="41"/>
  <c r="G13" i="41"/>
  <c r="G14" i="41"/>
  <c r="E18" i="41" l="1"/>
  <c r="E16" i="41"/>
  <c r="I12" i="39" l="1"/>
  <c r="I13" i="39"/>
  <c r="I14" i="39"/>
  <c r="I15" i="39"/>
  <c r="I16" i="39"/>
  <c r="I17" i="39"/>
  <c r="I18" i="39"/>
  <c r="I19" i="39"/>
  <c r="I20" i="39"/>
  <c r="I21" i="39"/>
  <c r="I22" i="39"/>
  <c r="C26" i="39"/>
  <c r="P35" i="39" l="1"/>
  <c r="C17" i="13" s="1"/>
  <c r="C18" i="13" s="1"/>
  <c r="F67" i="36" l="1"/>
  <c r="F66" i="36"/>
  <c r="F65" i="36"/>
  <c r="F64" i="36"/>
  <c r="F63" i="36"/>
  <c r="F62" i="36"/>
  <c r="F61" i="36"/>
  <c r="F60" i="36"/>
  <c r="F59" i="36"/>
  <c r="F58" i="36"/>
  <c r="F57" i="36"/>
  <c r="F56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D26" i="36"/>
  <c r="D41" i="36" s="1"/>
  <c r="D56" i="36" s="1"/>
  <c r="B26" i="36"/>
  <c r="B41" i="36" s="1"/>
  <c r="B56" i="36" s="1"/>
  <c r="F22" i="36"/>
  <c r="F21" i="36"/>
  <c r="F20" i="36"/>
  <c r="F19" i="36"/>
  <c r="F18" i="36"/>
  <c r="F17" i="36"/>
  <c r="F16" i="36"/>
  <c r="F15" i="36"/>
  <c r="F14" i="36"/>
  <c r="F13" i="36"/>
  <c r="F12" i="36"/>
  <c r="D12" i="36"/>
  <c r="D13" i="36" s="1"/>
  <c r="D14" i="36" s="1"/>
  <c r="D15" i="36" s="1"/>
  <c r="D16" i="36" s="1"/>
  <c r="D17" i="36" s="1"/>
  <c r="D18" i="36" s="1"/>
  <c r="D19" i="36" s="1"/>
  <c r="D20" i="36" s="1"/>
  <c r="D21" i="36" s="1"/>
  <c r="D22" i="36" s="1"/>
  <c r="D37" i="36" s="1"/>
  <c r="D52" i="36" s="1"/>
  <c r="D67" i="36" s="1"/>
  <c r="B12" i="36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37" i="36" s="1"/>
  <c r="B52" i="36" s="1"/>
  <c r="B67" i="36" s="1"/>
  <c r="F11" i="36"/>
  <c r="M11" i="36" l="1"/>
  <c r="M13" i="36" s="1"/>
  <c r="K11" i="36"/>
  <c r="K13" i="36" s="1"/>
  <c r="L11" i="36"/>
  <c r="L13" i="36" s="1"/>
  <c r="N11" i="36"/>
  <c r="N13" i="36" s="1"/>
  <c r="B28" i="36"/>
  <c r="B43" i="36" s="1"/>
  <c r="B58" i="36" s="1"/>
  <c r="B29" i="36"/>
  <c r="B44" i="36" s="1"/>
  <c r="B59" i="36" s="1"/>
  <c r="B33" i="36"/>
  <c r="B48" i="36" s="1"/>
  <c r="B63" i="36" s="1"/>
  <c r="B32" i="36"/>
  <c r="B47" i="36" s="1"/>
  <c r="B62" i="36" s="1"/>
  <c r="B30" i="36"/>
  <c r="B45" i="36" s="1"/>
  <c r="B60" i="36" s="1"/>
  <c r="B34" i="36"/>
  <c r="B49" i="36" s="1"/>
  <c r="B64" i="36" s="1"/>
  <c r="D31" i="36"/>
  <c r="D46" i="36" s="1"/>
  <c r="D61" i="36" s="1"/>
  <c r="D29" i="36"/>
  <c r="D44" i="36" s="1"/>
  <c r="D59" i="36" s="1"/>
  <c r="B27" i="36"/>
  <c r="B42" i="36" s="1"/>
  <c r="B57" i="36" s="1"/>
  <c r="D32" i="36"/>
  <c r="D47" i="36" s="1"/>
  <c r="D62" i="36" s="1"/>
  <c r="B35" i="36"/>
  <c r="B50" i="36" s="1"/>
  <c r="B65" i="36" s="1"/>
  <c r="D27" i="36"/>
  <c r="D42" i="36" s="1"/>
  <c r="D57" i="36" s="1"/>
  <c r="D35" i="36"/>
  <c r="D50" i="36" s="1"/>
  <c r="D65" i="36" s="1"/>
  <c r="D30" i="36"/>
  <c r="D45" i="36" s="1"/>
  <c r="D60" i="36" s="1"/>
  <c r="D33" i="36"/>
  <c r="D48" i="36" s="1"/>
  <c r="D63" i="36" s="1"/>
  <c r="B36" i="36"/>
  <c r="B51" i="36" s="1"/>
  <c r="B66" i="36" s="1"/>
  <c r="D28" i="36"/>
  <c r="D43" i="36" s="1"/>
  <c r="D58" i="36" s="1"/>
  <c r="B31" i="36"/>
  <c r="B46" i="36" s="1"/>
  <c r="B61" i="36" s="1"/>
  <c r="D36" i="36"/>
  <c r="D51" i="36" s="1"/>
  <c r="D66" i="36" s="1"/>
  <c r="D34" i="36"/>
  <c r="D49" i="36" s="1"/>
  <c r="D64" i="36" s="1"/>
  <c r="B11" i="35" l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G12" i="41" l="1"/>
  <c r="C21" i="41" l="1"/>
  <c r="C27" i="41" s="1"/>
  <c r="D90" i="4" l="1"/>
  <c r="D84" i="4"/>
  <c r="D78" i="4"/>
  <c r="D72" i="4"/>
  <c r="D65" i="4"/>
  <c r="M116" i="4"/>
  <c r="L116" i="4"/>
  <c r="K116" i="4"/>
  <c r="J116" i="4"/>
  <c r="J121" i="4" s="1"/>
  <c r="I116" i="4"/>
  <c r="H116" i="4"/>
  <c r="G116" i="4"/>
  <c r="F116" i="4"/>
  <c r="E116" i="4"/>
  <c r="M90" i="4"/>
  <c r="L90" i="4"/>
  <c r="K90" i="4"/>
  <c r="J90" i="4"/>
  <c r="I90" i="4"/>
  <c r="H90" i="4"/>
  <c r="G90" i="4"/>
  <c r="F90" i="4"/>
  <c r="E90" i="4"/>
  <c r="M84" i="4"/>
  <c r="L84" i="4"/>
  <c r="K84" i="4"/>
  <c r="J84" i="4"/>
  <c r="I84" i="4"/>
  <c r="H84" i="4"/>
  <c r="G84" i="4"/>
  <c r="F84" i="4"/>
  <c r="E84" i="4"/>
  <c r="M78" i="4"/>
  <c r="L78" i="4"/>
  <c r="K78" i="4"/>
  <c r="J78" i="4"/>
  <c r="I78" i="4"/>
  <c r="H78" i="4"/>
  <c r="G78" i="4"/>
  <c r="F78" i="4"/>
  <c r="E78" i="4"/>
  <c r="M72" i="4"/>
  <c r="L72" i="4"/>
  <c r="K72" i="4"/>
  <c r="J72" i="4"/>
  <c r="I72" i="4"/>
  <c r="H72" i="4"/>
  <c r="G72" i="4"/>
  <c r="F72" i="4"/>
  <c r="E72" i="4"/>
  <c r="L65" i="4"/>
  <c r="K65" i="4"/>
  <c r="J65" i="4"/>
  <c r="I65" i="4"/>
  <c r="H65" i="4"/>
  <c r="G65" i="4"/>
  <c r="G91" i="4" s="1"/>
  <c r="F65" i="4"/>
  <c r="E65" i="4"/>
  <c r="P64" i="4"/>
  <c r="P63" i="4"/>
  <c r="P62" i="4"/>
  <c r="P60" i="4"/>
  <c r="P59" i="4"/>
  <c r="O58" i="4"/>
  <c r="N58" i="4"/>
  <c r="M58" i="4"/>
  <c r="L58" i="4"/>
  <c r="K58" i="4"/>
  <c r="J58" i="4"/>
  <c r="I58" i="4"/>
  <c r="H58" i="4"/>
  <c r="G58" i="4"/>
  <c r="F58" i="4"/>
  <c r="E58" i="4"/>
  <c r="D58" i="4"/>
  <c r="L53" i="4"/>
  <c r="K53" i="4"/>
  <c r="J53" i="4"/>
  <c r="I53" i="4"/>
  <c r="H53" i="4"/>
  <c r="G53" i="4"/>
  <c r="F53" i="4"/>
  <c r="E53" i="4"/>
  <c r="D53" i="4"/>
  <c r="L49" i="4"/>
  <c r="K49" i="4"/>
  <c r="K54" i="4" s="1"/>
  <c r="J49" i="4"/>
  <c r="J54" i="4" s="1"/>
  <c r="I49" i="4"/>
  <c r="H49" i="4"/>
  <c r="G49" i="4"/>
  <c r="G54" i="4" s="1"/>
  <c r="F49" i="4"/>
  <c r="F54" i="4" s="1"/>
  <c r="E49" i="4"/>
  <c r="E54" i="4" s="1"/>
  <c r="D37" i="4"/>
  <c r="P37" i="4" s="1"/>
  <c r="D31" i="4"/>
  <c r="I91" i="4" l="1"/>
  <c r="L54" i="4"/>
  <c r="I54" i="4"/>
  <c r="I31" i="39" s="1"/>
  <c r="H54" i="4"/>
  <c r="H31" i="39" s="1"/>
  <c r="M91" i="4"/>
  <c r="L91" i="4"/>
  <c r="K91" i="4"/>
  <c r="K32" i="39" s="1"/>
  <c r="J91" i="4"/>
  <c r="J32" i="39" s="1"/>
  <c r="H91" i="4"/>
  <c r="H32" i="39" s="1"/>
  <c r="F91" i="4"/>
  <c r="F32" i="39" s="1"/>
  <c r="P78" i="4"/>
  <c r="E91" i="4"/>
  <c r="E32" i="39" s="1"/>
  <c r="P90" i="4"/>
  <c r="G31" i="39"/>
  <c r="K31" i="39"/>
  <c r="P49" i="4"/>
  <c r="J31" i="39"/>
  <c r="L31" i="39"/>
  <c r="L32" i="39"/>
  <c r="G32" i="39"/>
  <c r="P72" i="4"/>
  <c r="P84" i="4"/>
  <c r="P65" i="4"/>
  <c r="D91" i="4"/>
  <c r="P61" i="4"/>
  <c r="I32" i="39"/>
  <c r="F31" i="39"/>
  <c r="E31" i="39"/>
  <c r="P53" i="4"/>
  <c r="P31" i="4"/>
  <c r="D54" i="4"/>
  <c r="M115" i="4"/>
  <c r="E109" i="4"/>
  <c r="L102" i="4"/>
  <c r="K115" i="4"/>
  <c r="J102" i="4"/>
  <c r="D127" i="4"/>
  <c r="F102" i="4"/>
  <c r="F127" i="4"/>
  <c r="P104" i="4"/>
  <c r="I121" i="4"/>
  <c r="G127" i="4"/>
  <c r="E102" i="4"/>
  <c r="J109" i="4"/>
  <c r="F115" i="4"/>
  <c r="K121" i="4"/>
  <c r="D121" i="4"/>
  <c r="P114" i="4"/>
  <c r="E121" i="4"/>
  <c r="M121" i="4"/>
  <c r="I102" i="4"/>
  <c r="J115" i="4"/>
  <c r="P100" i="4"/>
  <c r="H102" i="4"/>
  <c r="P106" i="4"/>
  <c r="P112" i="4"/>
  <c r="I115" i="4"/>
  <c r="E115" i="4"/>
  <c r="P126" i="4"/>
  <c r="P103" i="4"/>
  <c r="H109" i="4"/>
  <c r="K109" i="4"/>
  <c r="P110" i="4"/>
  <c r="H115" i="4"/>
  <c r="P113" i="4"/>
  <c r="G115" i="4"/>
  <c r="I127" i="4"/>
  <c r="J127" i="4"/>
  <c r="P108" i="4"/>
  <c r="K102" i="4"/>
  <c r="F121" i="4"/>
  <c r="P101" i="4"/>
  <c r="P99" i="4"/>
  <c r="P97" i="4"/>
  <c r="P107" i="4"/>
  <c r="G121" i="4"/>
  <c r="K127" i="4"/>
  <c r="H121" i="4"/>
  <c r="L121" i="4"/>
  <c r="L127" i="4"/>
  <c r="H127" i="4"/>
  <c r="P96" i="4"/>
  <c r="G109" i="4"/>
  <c r="P105" i="4" s="1"/>
  <c r="L115" i="4"/>
  <c r="P111" i="4" s="1"/>
  <c r="E127" i="4"/>
  <c r="P123" i="4" s="1"/>
  <c r="G102" i="4"/>
  <c r="D109" i="4"/>
  <c r="L109" i="4"/>
  <c r="D115" i="4"/>
  <c r="P122" i="4"/>
  <c r="I109" i="4"/>
  <c r="P116" i="4"/>
  <c r="P118" i="4"/>
  <c r="P120" i="4"/>
  <c r="D102" i="4"/>
  <c r="P117" i="4"/>
  <c r="P119" i="4"/>
  <c r="M109" i="4"/>
  <c r="F109" i="4"/>
  <c r="H50" i="4"/>
  <c r="I50" i="4"/>
  <c r="G50" i="4"/>
  <c r="J50" i="4"/>
  <c r="E50" i="4"/>
  <c r="K50" i="4"/>
  <c r="F50" i="4"/>
  <c r="D50" i="4"/>
  <c r="L50" i="4"/>
  <c r="I33" i="39" l="1"/>
  <c r="H33" i="39"/>
  <c r="H34" i="39" s="1"/>
  <c r="H38" i="39" s="1"/>
  <c r="J33" i="39"/>
  <c r="J34" i="39" s="1"/>
  <c r="J38" i="39" s="1"/>
  <c r="K33" i="39"/>
  <c r="K34" i="39" s="1"/>
  <c r="K38" i="39" s="1"/>
  <c r="G33" i="39"/>
  <c r="G34" i="39" s="1"/>
  <c r="G38" i="39" s="1"/>
  <c r="P91" i="4"/>
  <c r="C15" i="13" s="1"/>
  <c r="E33" i="39"/>
  <c r="E34" i="39" s="1"/>
  <c r="E37" i="39" s="1"/>
  <c r="M128" i="4"/>
  <c r="P50" i="4"/>
  <c r="L33" i="39"/>
  <c r="L34" i="39" s="1"/>
  <c r="L38" i="39" s="1"/>
  <c r="F33" i="39"/>
  <c r="F34" i="39" s="1"/>
  <c r="F38" i="39" s="1"/>
  <c r="M32" i="39"/>
  <c r="M33" i="39" s="1"/>
  <c r="M129" i="4"/>
  <c r="H20" i="39" s="1"/>
  <c r="I34" i="39"/>
  <c r="I38" i="39" s="1"/>
  <c r="D32" i="39"/>
  <c r="H36" i="39"/>
  <c r="D31" i="39"/>
  <c r="P31" i="39" s="1"/>
  <c r="P54" i="4"/>
  <c r="K128" i="4"/>
  <c r="G128" i="4"/>
  <c r="I128" i="4"/>
  <c r="L128" i="4"/>
  <c r="P98" i="4"/>
  <c r="J128" i="4"/>
  <c r="D129" i="4"/>
  <c r="H11" i="39" s="1"/>
  <c r="E129" i="4"/>
  <c r="G129" i="4"/>
  <c r="H14" i="39" s="1"/>
  <c r="J129" i="4"/>
  <c r="H17" i="39" s="1"/>
  <c r="E128" i="4"/>
  <c r="P121" i="4"/>
  <c r="P115" i="4"/>
  <c r="K129" i="4"/>
  <c r="H18" i="39" s="1"/>
  <c r="L129" i="4"/>
  <c r="H19" i="39" s="1"/>
  <c r="H128" i="4"/>
  <c r="H129" i="4"/>
  <c r="H15" i="39" s="1"/>
  <c r="F128" i="4"/>
  <c r="D128" i="4"/>
  <c r="P102" i="4"/>
  <c r="P109" i="4"/>
  <c r="F129" i="4"/>
  <c r="H13" i="39" s="1"/>
  <c r="I129" i="4"/>
  <c r="H16" i="39" s="1"/>
  <c r="H37" i="39" l="1"/>
  <c r="H39" i="39" s="1"/>
  <c r="J36" i="39"/>
  <c r="J37" i="39"/>
  <c r="J39" i="39" s="1"/>
  <c r="K36" i="39"/>
  <c r="K37" i="39"/>
  <c r="K39" i="39" s="1"/>
  <c r="F18" i="39" s="1"/>
  <c r="E36" i="39"/>
  <c r="E38" i="39"/>
  <c r="E39" i="39" s="1"/>
  <c r="G36" i="39"/>
  <c r="P32" i="39"/>
  <c r="G37" i="39"/>
  <c r="G39" i="39" s="1"/>
  <c r="F14" i="39" s="1"/>
  <c r="L36" i="39"/>
  <c r="L37" i="39"/>
  <c r="L39" i="39" s="1"/>
  <c r="F19" i="39" s="1"/>
  <c r="C16" i="13"/>
  <c r="F36" i="39"/>
  <c r="F37" i="39"/>
  <c r="F39" i="39" s="1"/>
  <c r="M34" i="39"/>
  <c r="M38" i="39" s="1"/>
  <c r="I37" i="39"/>
  <c r="I39" i="39" s="1"/>
  <c r="I36" i="39"/>
  <c r="H12" i="39"/>
  <c r="P129" i="4"/>
  <c r="C11" i="39" s="1"/>
  <c r="F32" i="40" s="1"/>
  <c r="P128" i="4"/>
  <c r="P124" i="4"/>
  <c r="P125" i="4"/>
  <c r="C14" i="13"/>
  <c r="P127" i="4"/>
  <c r="D21" i="15"/>
  <c r="P38" i="39" l="1"/>
  <c r="P33" i="39"/>
  <c r="P34" i="39" s="1"/>
  <c r="F27" i="40"/>
  <c r="F22" i="40"/>
  <c r="M37" i="39"/>
  <c r="M39" i="39" s="1"/>
  <c r="F20" i="39" s="1"/>
  <c r="M36" i="39"/>
  <c r="E35" i="27"/>
  <c r="E24" i="27"/>
  <c r="E20" i="27"/>
  <c r="E41" i="27" l="1"/>
  <c r="E45" i="27" s="1"/>
  <c r="E49" i="27" s="1"/>
  <c r="E53" i="27" s="1"/>
  <c r="E19" i="40" s="1"/>
  <c r="G33" i="27"/>
  <c r="E20" i="40" l="1"/>
  <c r="F37" i="40"/>
  <c r="D30" i="39"/>
  <c r="F17" i="40" l="1"/>
  <c r="P36" i="39"/>
  <c r="C24" i="13" s="1"/>
  <c r="C25" i="13" s="1"/>
  <c r="C34" i="13" l="1"/>
  <c r="P37" i="39"/>
  <c r="P39" i="39" s="1"/>
  <c r="C12" i="39" s="1"/>
  <c r="G11" i="39" s="1"/>
  <c r="J11" i="39" s="1"/>
  <c r="I22" i="15" l="1"/>
  <c r="I27" i="15"/>
  <c r="I24" i="15" l="1"/>
  <c r="D26" i="15" s="1"/>
  <c r="D24" i="15"/>
  <c r="G22" i="39"/>
  <c r="J22" i="39" s="1"/>
  <c r="G14" i="39"/>
  <c r="J14" i="39" s="1"/>
  <c r="G16" i="39"/>
  <c r="J16" i="39" s="1"/>
  <c r="G17" i="39"/>
  <c r="J17" i="39" s="1"/>
  <c r="G18" i="39"/>
  <c r="J18" i="39" s="1"/>
  <c r="G15" i="39"/>
  <c r="J15" i="39" s="1"/>
  <c r="G20" i="39"/>
  <c r="J20" i="39" s="1"/>
  <c r="G13" i="39"/>
  <c r="J13" i="39" s="1"/>
  <c r="G21" i="39"/>
  <c r="J21" i="39" s="1"/>
  <c r="G19" i="39"/>
  <c r="J19" i="39" s="1"/>
  <c r="G12" i="39"/>
  <c r="J12" i="39" l="1"/>
  <c r="J23" i="39" s="1"/>
  <c r="C10" i="39" s="1"/>
  <c r="G23" i="39"/>
  <c r="M15" i="36"/>
  <c r="N15" i="36"/>
  <c r="L15" i="36"/>
  <c r="K15" i="36"/>
  <c r="K16" i="36" l="1"/>
  <c r="I23" i="15" s="1"/>
  <c r="D25" i="15" s="1"/>
  <c r="F11" i="40" l="1"/>
  <c r="I25" i="15" l="1"/>
  <c r="D27" i="15" s="1"/>
  <c r="I26" i="15" l="1"/>
  <c r="D28" i="15"/>
  <c r="D32" i="15" l="1"/>
  <c r="E39" i="44" s="1"/>
  <c r="D31" i="15"/>
  <c r="E37" i="44" s="1"/>
  <c r="K24" i="44" l="1"/>
  <c r="K23" i="44"/>
  <c r="K22" i="44"/>
  <c r="K21" i="44"/>
  <c r="K20" i="44"/>
  <c r="K19" i="44"/>
  <c r="K18" i="44"/>
  <c r="K17" i="44"/>
  <c r="K16" i="44"/>
  <c r="J19" i="44"/>
  <c r="J13" i="44"/>
  <c r="K34" i="44"/>
  <c r="K33" i="44"/>
  <c r="K32" i="44"/>
  <c r="K31" i="44"/>
  <c r="K30" i="44"/>
  <c r="K29" i="44"/>
  <c r="K28" i="44"/>
  <c r="K27" i="44"/>
  <c r="K26" i="44"/>
  <c r="K25" i="44"/>
  <c r="J30" i="44"/>
  <c r="J25" i="44"/>
  <c r="K13" i="44"/>
  <c r="K15" i="44"/>
  <c r="K14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PORTAL</author>
  </authors>
  <commentList>
    <comment ref="B17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 xml:space="preserve">Bes é igual ao benefício econômico de saneamento, calculado com base no volume faturado de água e esgotos e na tarifa média praticada, levando-se em conta os dados de cada mês;
Vf é igual ao somatório dos volumes faturados de água e de esgotos, expressos em metros cúbicos; e,
Tm é a tarifa média, expressa em reais, obtida pela divisão da Receita Operacional Direta – ROD, que é a receita obtida com o faturamento mensal de água e esgoto, pelo volume total de água e esgoto faturado no mesmo mês.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24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 xml:space="preserve">Beu(a) é o benefício econômico de uso auferido pelos prestadores de serviços públicos, calculado pela multiplicação do somatório dos volumes produzidos de água e de coleta de esgoto sanitário, pela tarifa média praticada, levando-se em consideração os dados de cada mês;
Vp é igual ao somatório dos volumes produzidos de água e de coleta de esgotos sanitários, expressos em metros cúbicos; e
Tm é a tarifa média, expressa em reais, obtida na forma prevista no art. 2º, § 2º, desta Lei Complementar.
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<sst xmlns="http://schemas.openxmlformats.org/spreadsheetml/2006/main" count="556" uniqueCount="323">
  <si>
    <t>Parâmetros</t>
    <phoneticPr fontId="0" type="noConversion"/>
  </si>
  <si>
    <t>Data</t>
    <phoneticPr fontId="0" type="noConversion"/>
  </si>
  <si>
    <t>Data do Reajuste</t>
    <phoneticPr fontId="0" type="noConversion"/>
  </si>
  <si>
    <t>01/06/2022</t>
  </si>
  <si>
    <t>Vigência das Tarifas pós RTA-2022</t>
  </si>
  <si>
    <t>01/06/2022 a 31/05/2023</t>
  </si>
  <si>
    <t xml:space="preserve">DRA: Data  de Referência Anterior </t>
    <phoneticPr fontId="0" type="noConversion"/>
  </si>
  <si>
    <t>01/06/2021</t>
  </si>
  <si>
    <t xml:space="preserve">DRP: Data de Reajuste em Processamento </t>
    <phoneticPr fontId="0" type="noConversion"/>
  </si>
  <si>
    <t>Período de Referência (parcela A + parcela B): 12 meses</t>
  </si>
  <si>
    <t>jan/2021 a dez/2021</t>
  </si>
  <si>
    <t>Mercado de Referência (parcela A + parcela B): Volume de Água e de Esgoto</t>
  </si>
  <si>
    <t>Período de Referência (Bônus-Desconto): 12 meses</t>
  </si>
  <si>
    <t>jan/2020 a dez/2020</t>
  </si>
  <si>
    <t>Período de Apuração (Bônus-Desconto): 12 meses</t>
  </si>
  <si>
    <t>Índices de inflação</t>
  </si>
  <si>
    <t>Meses</t>
    <phoneticPr fontId="0" type="noConversion"/>
  </si>
  <si>
    <t>INPC</t>
    <phoneticPr fontId="0" type="noConversion"/>
  </si>
  <si>
    <t>IPCA</t>
    <phoneticPr fontId="0" type="noConversion"/>
  </si>
  <si>
    <t>IGP-M</t>
  </si>
  <si>
    <t>Índice Acumulado (%)</t>
  </si>
  <si>
    <t>Fonte: www.ipeadata.gov.br</t>
  </si>
  <si>
    <t>Dados de Energia Elétrica 2020 e 2021</t>
  </si>
  <si>
    <t>Meses</t>
  </si>
  <si>
    <t>Custo de Energia* (R$)</t>
    <phoneticPr fontId="0" type="noConversion"/>
  </si>
  <si>
    <t>Consumo** (MWh)</t>
    <phoneticPr fontId="0" type="noConversion"/>
  </si>
  <si>
    <t>Consumo** (MWh)</t>
  </si>
  <si>
    <t>Total (R$)</t>
  </si>
  <si>
    <t>* Custo de Energia (R$): toda a despesa mensal incorrida pela CAESB com energia elétrica no referido mês</t>
  </si>
  <si>
    <t>** Consumo (MWh): todo o consumo mensal de energia elétrica, em MWh, da CAESB no referido mês</t>
  </si>
  <si>
    <t>Fonte: CAESB</t>
  </si>
  <si>
    <t>Variação nos custos de energia elétrica (Δenergia)</t>
  </si>
  <si>
    <t>Descrição</t>
  </si>
  <si>
    <t>Custo de Energia (R$)</t>
    <phoneticPr fontId="0" type="noConversion"/>
  </si>
  <si>
    <t>Consumo (MWh)</t>
    <phoneticPr fontId="0" type="noConversion"/>
  </si>
  <si>
    <t>R$/MWh</t>
  </si>
  <si>
    <t>Período de Referência</t>
  </si>
  <si>
    <t>Período de Referência Anterior</t>
  </si>
  <si>
    <t>Δenergia</t>
  </si>
  <si>
    <t>Apuração do Bônus-Desconto para o Reajuste 2022</t>
  </si>
  <si>
    <t>Categoria Residencial Normal</t>
  </si>
  <si>
    <t>Quadro Resumo - Bônus-Desconto</t>
  </si>
  <si>
    <t xml:space="preserve"> Período de Referência (A) </t>
  </si>
  <si>
    <t xml:space="preserve">Consumo (m3) </t>
  </si>
  <si>
    <t xml:space="preserve">Período de Apuração (B) </t>
  </si>
  <si>
    <t>Economia em m³</t>
  </si>
  <si>
    <t>Residencial Normal</t>
  </si>
  <si>
    <t>Residencial Popular</t>
  </si>
  <si>
    <t>Comercial</t>
  </si>
  <si>
    <t>Industrial</t>
  </si>
  <si>
    <t xml:space="preserve">Economia até maio de 2021 (m3)  </t>
  </si>
  <si>
    <t xml:space="preserve">Bônus Desconto até maio de 2021  (%) -  Lei 4.341/09 </t>
  </si>
  <si>
    <t>Base de Cálculo até maio de 2021 (m3)</t>
  </si>
  <si>
    <t>Tarifa Inicial até maio de 2021 (R$)</t>
  </si>
  <si>
    <t>Bonus-Desconto (R$)</t>
  </si>
  <si>
    <t>Bônus-desconto total</t>
  </si>
  <si>
    <t>Valor do Bônus-Desconto - Parcela A</t>
  </si>
  <si>
    <r>
      <t>VPA-BD</t>
    </r>
    <r>
      <rPr>
        <vertAlign val="subscript"/>
        <sz val="11"/>
        <color theme="3"/>
        <rFont val="Calibri"/>
        <family val="2"/>
        <scheme val="minor"/>
      </rPr>
      <t>DRP</t>
    </r>
  </si>
  <si>
    <t>Mercado de Referência (m³) - jan a dez/2021</t>
  </si>
  <si>
    <t>MR (m³)</t>
  </si>
  <si>
    <t>Tarifa Bônus-Desconto</t>
  </si>
  <si>
    <r>
      <t>TA-BD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 (R$/m³)</t>
    </r>
  </si>
  <si>
    <t>Categoria Residencial Social</t>
  </si>
  <si>
    <t>Categoria Comercial</t>
  </si>
  <si>
    <t>Categoria Industrial</t>
  </si>
  <si>
    <r>
      <t>Volume de Água Produzida e de Esgoto Coletado pela CAESB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</si>
  <si>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Total</t>
    <phoneticPr fontId="1" type="noConversion"/>
  </si>
  <si>
    <t>Volume de Água Produzida</t>
    <phoneticPr fontId="1" type="noConversion"/>
  </si>
  <si>
    <t>Volume de Esgoto Coletado</t>
    <phoneticPr fontId="1" type="noConversion"/>
  </si>
  <si>
    <t>Total</t>
  </si>
  <si>
    <r>
      <t>I - Volume Faturado de Água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</si>
  <si>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Categoria</t>
  </si>
  <si>
    <t>Faixa</t>
  </si>
  <si>
    <t>Residencial Padrão</t>
  </si>
  <si>
    <t>0 a 7</t>
  </si>
  <si>
    <t>8 a 13</t>
  </si>
  <si>
    <t>14 a 20</t>
  </si>
  <si>
    <t>21 a 30</t>
  </si>
  <si>
    <t>31 a 45</t>
  </si>
  <si>
    <t>&gt; 45</t>
  </si>
  <si>
    <t>Sub-total</t>
  </si>
  <si>
    <t>Residencial Social</t>
  </si>
  <si>
    <t>0 a 4</t>
  </si>
  <si>
    <t>5 a 7</t>
  </si>
  <si>
    <t>8 a 10</t>
  </si>
  <si>
    <t>11 a 40</t>
  </si>
  <si>
    <t>&gt; 40</t>
  </si>
  <si>
    <t>Pública</t>
  </si>
  <si>
    <t>Total Geral</t>
  </si>
  <si>
    <t>Saneago</t>
  </si>
  <si>
    <t>Água Bruta</t>
  </si>
  <si>
    <t>Saneago + Água Bruta</t>
  </si>
  <si>
    <t>Total Geral com água bruta</t>
  </si>
  <si>
    <r>
      <t>II - Volume Faturado de Esgoto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</si>
  <si>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III - Volume Faturado de Água e de Esgoto (m3)</t>
  </si>
  <si>
    <t>Valor da Parcela A - 2022 - DRP</t>
  </si>
  <si>
    <r>
      <t>TA</t>
    </r>
    <r>
      <rPr>
        <b/>
        <sz val="9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 (R$/m³)</t>
    </r>
  </si>
  <si>
    <t>%</t>
  </si>
  <si>
    <t>TFS</t>
  </si>
  <si>
    <t xml:space="preserve">TFU </t>
  </si>
  <si>
    <t>Taxa de Fiscalização do Serviço - TFS</t>
    <phoneticPr fontId="0" type="noConversion"/>
  </si>
  <si>
    <r>
      <t>Volume Faturado de Água (m</t>
    </r>
    <r>
      <rPr>
        <vertAlign val="superscript"/>
        <sz val="11"/>
        <color theme="3"/>
        <rFont val="Calibri"/>
        <family val="2"/>
        <scheme val="minor"/>
      </rPr>
      <t>3</t>
    </r>
    <r>
      <rPr>
        <sz val="11"/>
        <color theme="3"/>
        <rFont val="Calibri"/>
        <family val="2"/>
        <scheme val="minor"/>
      </rPr>
      <t>)</t>
    </r>
  </si>
  <si>
    <r>
      <t>Volume Faturado de Esgoto (m</t>
    </r>
    <r>
      <rPr>
        <vertAlign val="superscript"/>
        <sz val="11"/>
        <color theme="3"/>
        <rFont val="Calibri"/>
        <family val="2"/>
        <scheme val="minor"/>
      </rPr>
      <t>3</t>
    </r>
    <r>
      <rPr>
        <sz val="11"/>
        <color theme="3"/>
        <rFont val="Calibri"/>
        <family val="2"/>
        <scheme val="minor"/>
      </rPr>
      <t>)</t>
    </r>
  </si>
  <si>
    <r>
      <t>Volume Faturado Total  (m</t>
    </r>
    <r>
      <rPr>
        <vertAlign val="superscript"/>
        <sz val="11"/>
        <color theme="3"/>
        <rFont val="Calibri"/>
        <family val="2"/>
        <scheme val="minor"/>
      </rPr>
      <t>3</t>
    </r>
    <r>
      <rPr>
        <sz val="11"/>
        <color theme="3"/>
        <rFont val="Calibri"/>
        <family val="2"/>
        <scheme val="minor"/>
      </rPr>
      <t>)</t>
    </r>
  </si>
  <si>
    <t>Benefício Econômico de Saneamento - Bes (R$)</t>
    <phoneticPr fontId="0" type="noConversion"/>
  </si>
  <si>
    <t>TFS = 1% x Bes (R$)</t>
  </si>
  <si>
    <t>Taxa de Fiscalização do Uso - TFU</t>
    <phoneticPr fontId="0" type="noConversion"/>
  </si>
  <si>
    <r>
      <t>Volume de Água Produzida (m</t>
    </r>
    <r>
      <rPr>
        <vertAlign val="superscript"/>
        <sz val="11"/>
        <color theme="3"/>
        <rFont val="Calibri"/>
        <family val="2"/>
        <scheme val="minor"/>
      </rPr>
      <t>3</t>
    </r>
    <r>
      <rPr>
        <sz val="11"/>
        <color theme="3"/>
        <rFont val="Calibri"/>
        <family val="2"/>
        <scheme val="minor"/>
      </rPr>
      <t>)</t>
    </r>
  </si>
  <si>
    <r>
      <t>Volume de Esgoto Coletado (m</t>
    </r>
    <r>
      <rPr>
        <vertAlign val="superscript"/>
        <sz val="11"/>
        <color theme="3"/>
        <rFont val="Calibri"/>
        <family val="2"/>
        <scheme val="minor"/>
      </rPr>
      <t>3</t>
    </r>
    <r>
      <rPr>
        <sz val="11"/>
        <color theme="3"/>
        <rFont val="Calibri"/>
        <family val="2"/>
        <scheme val="minor"/>
      </rPr>
      <t>)</t>
    </r>
  </si>
  <si>
    <r>
      <t>Volume Produzido e Coletado Total - Vp (m</t>
    </r>
    <r>
      <rPr>
        <vertAlign val="superscript"/>
        <sz val="11"/>
        <color theme="3"/>
        <rFont val="Calibri"/>
        <family val="2"/>
        <scheme val="minor"/>
      </rPr>
      <t>3</t>
    </r>
    <r>
      <rPr>
        <sz val="11"/>
        <color theme="3"/>
        <rFont val="Calibri"/>
        <family val="2"/>
        <scheme val="minor"/>
      </rPr>
      <t>)</t>
    </r>
  </si>
  <si>
    <t>Benefício Econômico de Uso Auferido - Beu(a) (R$)</t>
    <phoneticPr fontId="0" type="noConversion"/>
  </si>
  <si>
    <t>TFU = 2,5% x Beu(a) (R$)</t>
  </si>
  <si>
    <t>Valor Conselho de Consumidores da Caesb</t>
  </si>
  <si>
    <t>Pagamento pelo uso dos recursos hídricos de domínio da União - 2023</t>
  </si>
  <si>
    <t>Pagamento pelo uso dos recursos hídricos de domínio do DF - 2023</t>
  </si>
  <si>
    <t>Investimentos em Pesquisa, Desenvolvimento e Inovação - PDI</t>
  </si>
  <si>
    <t>Receita Operacional Direta 2019</t>
  </si>
  <si>
    <r>
      <t xml:space="preserve">Valor Total das Taxas (VPA 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>)</t>
    </r>
  </si>
  <si>
    <t>Tarifa de Parcela A</t>
  </si>
  <si>
    <r>
      <t>TA</t>
    </r>
    <r>
      <rPr>
        <vertAlign val="subscript"/>
        <sz val="11"/>
        <color theme="3"/>
        <rFont val="Calibri"/>
        <family val="2"/>
        <scheme val="minor"/>
      </rPr>
      <t>DRP</t>
    </r>
  </si>
  <si>
    <t>Valor da Parcela B 2022 - DRP</t>
  </si>
  <si>
    <t>IrB (%)</t>
    <phoneticPr fontId="0" type="noConversion"/>
  </si>
  <si>
    <t>Custos</t>
  </si>
  <si>
    <t>Proporção (%)</t>
  </si>
  <si>
    <t>Variação (%)</t>
    <phoneticPr fontId="0" type="noConversion"/>
  </si>
  <si>
    <t xml:space="preserve"> Impacto no IrB (%)</t>
  </si>
  <si>
    <t>Pessoal</t>
  </si>
  <si>
    <t>%P x ΔINPC</t>
    <phoneticPr fontId="0" type="noConversion"/>
  </si>
  <si>
    <t>Energia Elétrica</t>
  </si>
  <si>
    <t>%EE x Δenergia</t>
    <phoneticPr fontId="0" type="noConversion"/>
  </si>
  <si>
    <t xml:space="preserve">Material </t>
  </si>
  <si>
    <t>%MT x ΔIGP-M</t>
    <phoneticPr fontId="0" type="noConversion"/>
  </si>
  <si>
    <t>Remuneração dos Investimentos</t>
  </si>
  <si>
    <t>%RI x ΔIGP-M</t>
    <phoneticPr fontId="0" type="noConversion"/>
  </si>
  <si>
    <t>Outros Custos</t>
  </si>
  <si>
    <t>% OC x ΔIPCA</t>
    <phoneticPr fontId="0" type="noConversion"/>
  </si>
  <si>
    <t>IrB = (%P x ΔINPC) + (%EE x ΔEnergia) + (%MT x ΔIGP-M) + (%RI x ΔIGP-M) + (% OC x ΔIPCA)</t>
  </si>
  <si>
    <t>Fonte: 3ª Revisão Tarifária Periódica</t>
  </si>
  <si>
    <t>(%RI+%MT) x ΔIGP-M</t>
  </si>
  <si>
    <t>Índice que Reajusta a Parcela B</t>
    <phoneticPr fontId="0" type="noConversion"/>
  </si>
  <si>
    <t>IrB</t>
    <phoneticPr fontId="0" type="noConversion"/>
  </si>
  <si>
    <t>Fator X</t>
    <phoneticPr fontId="0" type="noConversion"/>
  </si>
  <si>
    <t>Índice Acumulado = IrB - X</t>
  </si>
  <si>
    <t>Tarifa de Parcela B</t>
  </si>
  <si>
    <r>
      <t>TB</t>
    </r>
    <r>
      <rPr>
        <vertAlign val="subscript"/>
        <sz val="11"/>
        <color theme="3"/>
        <rFont val="Calibri"/>
        <family val="2"/>
        <scheme val="minor"/>
      </rPr>
      <t>DRA</t>
    </r>
  </si>
  <si>
    <r>
      <t>TB</t>
    </r>
    <r>
      <rPr>
        <vertAlign val="subscript"/>
        <sz val="11"/>
        <color theme="3"/>
        <rFont val="Calibri"/>
        <family val="2"/>
        <scheme val="minor"/>
      </rPr>
      <t>DRP</t>
    </r>
  </si>
  <si>
    <t>Valor dos Componentes Financeiros 2022 - DRP</t>
  </si>
  <si>
    <t xml:space="preserve"> CF 2022</t>
  </si>
  <si>
    <t>CF</t>
  </si>
  <si>
    <t>Mês</t>
  </si>
  <si>
    <t>CPA</t>
  </si>
  <si>
    <t>VPA</t>
  </si>
  <si>
    <t>MR</t>
  </si>
  <si>
    <t>IPCA</t>
  </si>
  <si>
    <t>jan</t>
  </si>
  <si>
    <r>
      <t>TA</t>
    </r>
    <r>
      <rPr>
        <b/>
        <vertAlign val="subscript"/>
        <sz val="11"/>
        <color theme="3"/>
        <rFont val="Calibri"/>
        <family val="2"/>
        <scheme val="minor"/>
      </rPr>
      <t>DRA</t>
    </r>
    <r>
      <rPr>
        <b/>
        <sz val="11"/>
        <color theme="3"/>
        <rFont val="Calibri"/>
        <family val="2"/>
        <scheme val="minor"/>
      </rPr>
      <t xml:space="preserve"> TFS/TFU</t>
    </r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</si>
  <si>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</si>
  <si>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</si>
  <si>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</si>
  <si>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</si>
  <si>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</si>
  <si>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</si>
  <si>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</si>
  <si>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</si>
  <si>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</si>
  <si>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</si>
  <si>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</si>
  <si>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</si>
  <si>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DISCRIMINAÇÃO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</si>
  <si>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</si>
  <si>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</si>
  <si>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</si>
  <si>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</si>
  <si>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</si>
  <si>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</si>
  <si>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</si>
  <si>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</si>
  <si>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</si>
  <si>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</si>
  <si>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</si>
  <si>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</si>
  <si>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 Operacional Direta</t>
  </si>
  <si>
    <t>R$</t>
  </si>
  <si>
    <r>
      <t xml:space="preserve">volume </t>
    </r>
    <r>
      <rPr>
        <sz val="11"/>
        <color theme="3"/>
        <rFont val="Calibri"/>
        <family val="2"/>
      </rPr>
      <t>produzido Ag</t>
    </r>
  </si>
  <si>
    <t>m³</t>
  </si>
  <si>
    <r>
      <t xml:space="preserve">volume </t>
    </r>
    <r>
      <rPr>
        <sz val="11"/>
        <color theme="3"/>
        <rFont val="Calibri"/>
        <family val="2"/>
      </rPr>
      <t>coletado Esg</t>
    </r>
  </si>
  <si>
    <t>Total vol prod Ag + Esg</t>
  </si>
  <si>
    <r>
      <t xml:space="preserve">volume </t>
    </r>
    <r>
      <rPr>
        <sz val="11"/>
        <color theme="3"/>
        <rFont val="Calibri"/>
        <family val="2"/>
      </rPr>
      <t>faturado Ag</t>
    </r>
  </si>
  <si>
    <r>
      <t xml:space="preserve">volume </t>
    </r>
    <r>
      <rPr>
        <sz val="11"/>
        <color theme="3"/>
        <rFont val="Calibri"/>
        <family val="2"/>
      </rPr>
      <t>faturado Esg</t>
    </r>
  </si>
  <si>
    <t>Total vol fat Ag + Esg</t>
  </si>
  <si>
    <t>Tarifa Média</t>
  </si>
  <si>
    <t>R$/m³</t>
  </si>
  <si>
    <t>Bes</t>
  </si>
  <si>
    <t>Beu</t>
  </si>
  <si>
    <t>TFU (2,5%)</t>
  </si>
  <si>
    <t>TFS (1%)</t>
  </si>
  <si>
    <t xml:space="preserve">Outros Componentes Financeiros </t>
  </si>
  <si>
    <t>CF total (R$)</t>
  </si>
  <si>
    <r>
      <t>TF</t>
    </r>
    <r>
      <rPr>
        <b/>
        <vertAlign val="subscript"/>
        <sz val="11"/>
        <color theme="0"/>
        <rFont val="Calibri"/>
        <family val="2"/>
        <scheme val="minor"/>
      </rPr>
      <t>DRA</t>
    </r>
  </si>
  <si>
    <t>Devolução do PASEP/COFINS de 2019 2° parcela</t>
  </si>
  <si>
    <t>Receita Operacional Direta - ROD (mar a dez/19)</t>
  </si>
  <si>
    <t>Devolução do PASEP/COFINS de 2019 - 2ª parcela</t>
  </si>
  <si>
    <t>Devolução do PASEP/COFINS de 2019 - 50% da 3ª parcela</t>
  </si>
  <si>
    <t>Compensação do adiamento da 3ª RTP 2° parcela</t>
  </si>
  <si>
    <t>Compensação do adiamento da 3ª RTP - 2ª parcela</t>
  </si>
  <si>
    <t>Compensação do adiamento da 3ª RTP - 50% da 3ª parcela</t>
  </si>
  <si>
    <t>Ajustes decorrentes do recurso da Caesb</t>
  </si>
  <si>
    <t>Receita Requerida do RTA 2021 com ajustes</t>
  </si>
  <si>
    <t>Diferença na RTP+RTA depois do recurso</t>
  </si>
  <si>
    <t>Tarifa de Contingência</t>
  </si>
  <si>
    <t>Receita Operacional Direta 2020</t>
  </si>
  <si>
    <t>Diferença no pagamento pelo uso dos recursos hídricos de domínio da União - 2021</t>
  </si>
  <si>
    <t>Previsão de pagamento pelo uso dos recursos hídricos de domínio da União - 2021</t>
  </si>
  <si>
    <t>Valor efetivamente pago pelo uso dos recursos hídricos de domínio da União - 2021</t>
  </si>
  <si>
    <t>Apuração da valor a devolver referente a Tarifa de Contingência</t>
  </si>
  <si>
    <t>Projetos</t>
  </si>
  <si>
    <t>Saldo remanescente até fev/21</t>
  </si>
  <si>
    <t>Lago Norte</t>
  </si>
  <si>
    <t>Descoberto</t>
  </si>
  <si>
    <t>Volume Morto</t>
  </si>
  <si>
    <t>Gama</t>
  </si>
  <si>
    <t>Poços Brazlândia</t>
  </si>
  <si>
    <t>Poços Sobradinho</t>
  </si>
  <si>
    <t xml:space="preserve">Sobradinho/Planaltina - 1 </t>
  </si>
  <si>
    <t>Sobradinho/Planaltina - 2</t>
  </si>
  <si>
    <t>Sobradinho/Planaltina - 3</t>
  </si>
  <si>
    <t>Revestimento do canal principal</t>
  </si>
  <si>
    <t>Revestimento dos canais secundários</t>
  </si>
  <si>
    <t>Revestimento dos canais Alto Descoberto</t>
  </si>
  <si>
    <t>Saldo remanescente total a devolver</t>
  </si>
  <si>
    <t>Conta principal</t>
  </si>
  <si>
    <t>Valor do RTA 2022</t>
  </si>
  <si>
    <r>
      <t>Tarifas DRA (R$/m</t>
    </r>
    <r>
      <rPr>
        <vertAlign val="superscript"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>)</t>
    </r>
    <r>
      <rPr>
        <b/>
        <sz val="11"/>
        <color theme="0"/>
        <rFont val="Calibri"/>
        <family val="2"/>
        <scheme val="minor"/>
      </rPr>
      <t xml:space="preserve"> -  Residencial</t>
    </r>
  </si>
  <si>
    <t>Valores da DRA (R$)</t>
  </si>
  <si>
    <t xml:space="preserve">Tarifa de Parcela A:                                                                    </t>
  </si>
  <si>
    <r>
      <t>TA</t>
    </r>
    <r>
      <rPr>
        <vertAlign val="subscript"/>
        <sz val="11"/>
        <color theme="3"/>
        <rFont val="Calibri"/>
        <family val="2"/>
        <scheme val="minor"/>
      </rPr>
      <t>DRA</t>
    </r>
  </si>
  <si>
    <t>Valor Parcela A</t>
  </si>
  <si>
    <r>
      <t>VPA</t>
    </r>
    <r>
      <rPr>
        <vertAlign val="subscript"/>
        <sz val="11"/>
        <color theme="3"/>
        <rFont val="Calibri"/>
        <family val="2"/>
        <scheme val="minor"/>
      </rPr>
      <t>DRA</t>
    </r>
  </si>
  <si>
    <t>Tarifa bônus-desconto</t>
  </si>
  <si>
    <r>
      <t>TA-BD</t>
    </r>
    <r>
      <rPr>
        <vertAlign val="subscript"/>
        <sz val="11"/>
        <color theme="3"/>
        <rFont val="Calibri"/>
        <family val="2"/>
        <scheme val="minor"/>
      </rPr>
      <t>DRA</t>
    </r>
  </si>
  <si>
    <t>Valor do Bonus-Desconto - Parcela A:</t>
  </si>
  <si>
    <r>
      <t>VPA-BD</t>
    </r>
    <r>
      <rPr>
        <vertAlign val="subscript"/>
        <sz val="11"/>
        <color theme="3"/>
        <rFont val="Calibri"/>
        <family val="2"/>
        <scheme val="minor"/>
      </rPr>
      <t>DRA</t>
    </r>
  </si>
  <si>
    <t xml:space="preserve">Tarifa de Parcela B: </t>
    <phoneticPr fontId="0" type="noConversion"/>
  </si>
  <si>
    <t xml:space="preserve">Valor da Parcela B: </t>
    <phoneticPr fontId="0" type="noConversion"/>
  </si>
  <si>
    <r>
      <t>VPB</t>
    </r>
    <r>
      <rPr>
        <vertAlign val="subscript"/>
        <sz val="11"/>
        <color theme="3"/>
        <rFont val="Calibri"/>
        <family val="2"/>
        <scheme val="minor"/>
      </rPr>
      <t>DRA</t>
    </r>
  </si>
  <si>
    <t xml:space="preserve">Tarifa Componentes Financeiros </t>
  </si>
  <si>
    <r>
      <t>TF</t>
    </r>
    <r>
      <rPr>
        <vertAlign val="subscript"/>
        <sz val="11"/>
        <color theme="3"/>
        <rFont val="Calibri"/>
        <family val="2"/>
        <scheme val="minor"/>
      </rPr>
      <t>DRA</t>
    </r>
  </si>
  <si>
    <t>Valor do Componente Financeiro - Residencial + Não Residencial</t>
  </si>
  <si>
    <r>
      <t>VCF</t>
    </r>
    <r>
      <rPr>
        <vertAlign val="subscript"/>
        <sz val="11"/>
        <color theme="3"/>
        <rFont val="Calibri"/>
        <family val="2"/>
        <scheme val="minor"/>
      </rPr>
      <t>DRP</t>
    </r>
  </si>
  <si>
    <t xml:space="preserve">Tarifa Final DRA: </t>
  </si>
  <si>
    <t>Valor do CF - Residencial</t>
  </si>
  <si>
    <t>Receita Anual:</t>
  </si>
  <si>
    <t>RA</t>
  </si>
  <si>
    <r>
      <t>Tarifas DRA (R$/m</t>
    </r>
    <r>
      <rPr>
        <vertAlign val="superscript"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>)</t>
    </r>
    <r>
      <rPr>
        <b/>
        <sz val="11"/>
        <color theme="0"/>
        <rFont val="Calibri"/>
        <family val="2"/>
        <scheme val="minor"/>
      </rPr>
      <t xml:space="preserve"> - Não Residencial</t>
    </r>
  </si>
  <si>
    <t>Mercado de Referência (m3) - jan a dez/2020</t>
  </si>
  <si>
    <t xml:space="preserve">Tarifa da Parcela A                                         </t>
  </si>
  <si>
    <t>Mercado de Referência (m3) - jan a dez/2020 - Residencial</t>
  </si>
  <si>
    <t>Tarifa do Bônus-desconto</t>
  </si>
  <si>
    <t>Fonte: RTA 2021 - Tarifa das Parcelas A, B e CF na DRP 2021</t>
  </si>
  <si>
    <t>Tarifa da Parcela B</t>
  </si>
  <si>
    <t xml:space="preserve">Disponível em: Nota Técnica N.º 11/2021 - ADASA/SEF/COEE </t>
  </si>
  <si>
    <t xml:space="preserve">Tarifa de Componentes Financeiros   </t>
  </si>
  <si>
    <t>Valores da DRP (R$)</t>
  </si>
  <si>
    <r>
      <t>VPA</t>
    </r>
    <r>
      <rPr>
        <vertAlign val="subscript"/>
        <sz val="11"/>
        <color theme="3"/>
        <rFont val="Calibri"/>
        <family val="2"/>
        <scheme val="minor"/>
      </rPr>
      <t>DRP</t>
    </r>
  </si>
  <si>
    <r>
      <t>Tarifas DRP (R$/m</t>
    </r>
    <r>
      <rPr>
        <vertAlign val="superscript"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>)</t>
    </r>
  </si>
  <si>
    <r>
      <t>VPB</t>
    </r>
    <r>
      <rPr>
        <vertAlign val="subscript"/>
        <sz val="11"/>
        <color theme="3"/>
        <rFont val="Calibri"/>
        <family val="2"/>
        <scheme val="minor"/>
      </rPr>
      <t>DRP</t>
    </r>
  </si>
  <si>
    <r>
      <t>TA-BD</t>
    </r>
    <r>
      <rPr>
        <vertAlign val="subscript"/>
        <sz val="11"/>
        <color theme="3"/>
        <rFont val="Calibri"/>
        <family val="2"/>
        <scheme val="minor"/>
      </rPr>
      <t>DRP</t>
    </r>
  </si>
  <si>
    <t>Valor do Componente Financeiro</t>
  </si>
  <si>
    <r>
      <t>TF</t>
    </r>
    <r>
      <rPr>
        <vertAlign val="subscript"/>
        <sz val="11"/>
        <color theme="3"/>
        <rFont val="Calibri"/>
        <family val="2"/>
        <scheme val="minor"/>
      </rPr>
      <t>DRP</t>
    </r>
  </si>
  <si>
    <t>Mercado de Referência (m3) - jan a dez/2021</t>
  </si>
  <si>
    <t>MR</t>
    <phoneticPr fontId="0" type="noConversion"/>
  </si>
  <si>
    <t xml:space="preserve">Tarifa Final DRP: </t>
  </si>
  <si>
    <t>Índice de Reajuste Tarifário</t>
  </si>
  <si>
    <t>Índice de Reajuste Tarifário - Residencial</t>
  </si>
  <si>
    <t>Índice de Reajuste Tarifário - Não Residencial</t>
  </si>
  <si>
    <t>Valor das Tarifas para 2022</t>
  </si>
  <si>
    <t>Tarifas resultantes da 3ª RTP e RTA 2021</t>
  </si>
  <si>
    <t>Tarifas resultantes do RTA 2022</t>
  </si>
  <si>
    <t>Tarifas dos serviços públicos de abastecimento de água e esgotamento sanitário vigentes no período de 1º de junho de 2021 a 31 de maio de 2022</t>
  </si>
  <si>
    <t>Tarifas dos serviços públicos de abastecimento de água e esgotamento sanitário a vigorar no período de 1º de junho de 2022 a 31 de maio de 2023</t>
  </si>
  <si>
    <t xml:space="preserve"> Faixa de Consumo (m³)</t>
  </si>
  <si>
    <t>Tarifa Fixa (R$)</t>
  </si>
  <si>
    <t>Tarifa Variável (R$/m³)</t>
  </si>
  <si>
    <t xml:space="preserve">Residencial </t>
  </si>
  <si>
    <t>Acima de 45</t>
  </si>
  <si>
    <t>Não - Residencial (Comercial, Industrial e Pública)</t>
  </si>
  <si>
    <t xml:space="preserve">8 a 10 </t>
  </si>
  <si>
    <t xml:space="preserve">11 a 40 </t>
  </si>
  <si>
    <t>Acima de 40</t>
  </si>
  <si>
    <t>Paisagismo</t>
  </si>
  <si>
    <t>Resolução Adasa nº 05, de 28 de abril de 2021</t>
  </si>
  <si>
    <t>Companhia de Saneamento Ambiental do Distrito Federal - CAESB</t>
  </si>
  <si>
    <t>Revisão Tarifária Periódica (3ª RTP)</t>
  </si>
  <si>
    <t>Reposicionamento Tarifário</t>
  </si>
  <si>
    <t>Parcela A (VPA)</t>
  </si>
  <si>
    <t>em R$</t>
  </si>
  <si>
    <t>. Bônus desconto</t>
  </si>
  <si>
    <t xml:space="preserve">. TFS  </t>
  </si>
  <si>
    <t>. TFU</t>
  </si>
  <si>
    <t>.Conselho dos consumidores</t>
  </si>
  <si>
    <t>. Pagamento pelo uso dos recursos hídricos de domínio do DF</t>
  </si>
  <si>
    <t xml:space="preserve">. Redução alíquota PASEP/COFINS </t>
  </si>
  <si>
    <t>Total Parcela A (VPA)</t>
  </si>
  <si>
    <t>Parcela B (VPB)</t>
  </si>
  <si>
    <t>. Custos Operacionais 3ª RTP</t>
  </si>
  <si>
    <t>.Pessoal</t>
  </si>
  <si>
    <t>.Terceiros</t>
  </si>
  <si>
    <t>.Material</t>
  </si>
  <si>
    <t>.Gerais</t>
  </si>
  <si>
    <t>.Depreciação</t>
  </si>
  <si>
    <t>.Impostos e taxas</t>
  </si>
  <si>
    <t>.Energia elétrica</t>
  </si>
  <si>
    <t>. Receitas Irrecuperáveis</t>
  </si>
  <si>
    <t>. Remuneração Adequada</t>
  </si>
  <si>
    <t xml:space="preserve">. Remuneração dos Investimentos </t>
  </si>
  <si>
    <t>. Quota de Reintegração Regulatória</t>
  </si>
  <si>
    <t>. Remuneração dos Ativos de Almoxarifado</t>
  </si>
  <si>
    <t>Total Parcela B (VPB)</t>
  </si>
  <si>
    <t>. Receita Requerida (VPA + VPB)</t>
  </si>
  <si>
    <t>(-) Outras Receitas</t>
  </si>
  <si>
    <t>. Receita Requerida Líquida (A)</t>
  </si>
  <si>
    <t>. Receita Verificada (B)</t>
  </si>
  <si>
    <t>Reposicionamento Tarifário - RT (A/B-1)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</si>
</sst>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#,##0.0000"/>
    <numFmt numFmtId="166" formatCode="0.0000%"/>
    <numFmt numFmtId="167" formatCode="_-* #,##0_-;\-* #,##0_-;_-* &quot;-&quot;??_-;_-@_-"/>
    <numFmt numFmtId="168" formatCode="_(* #,##0.00_);_(* \(#,##0.00\);_(* &quot;-&quot;??_);_(@_)"/>
    <numFmt numFmtId="169" formatCode="0.0%"/>
    <numFmt numFmtId="170" formatCode="mmm\-yy"/>
    <numFmt numFmtId="171" formatCode="0.0000"/>
    <numFmt numFmtId="172" formatCode="_(&quot;R$ &quot;* #,##0.00_);_(&quot;R$ &quot;* \(#,##0.00\);_(&quot;R$ &quot;* &quot;-&quot;??_);_(@_)"/>
    <numFmt numFmtId="173" formatCode="_-* #,##0.0000_-;\-* #,##0.0000_-;_-* &quot;-&quot;??_-;_-@_-"/>
    <numFmt numFmtId="174" formatCode="#,##0.0000;[Red]#,##0.0000"/>
    <numFmt numFmtId="175" formatCode="mmmm/yyyy"/>
    <numFmt numFmtId="176" formatCode="0.00000"/>
    <numFmt numFmtId="177" formatCode="_(* #,##0_);_(* \(#,##0\);_(* &quot;-&quot;??_);_(@_)"/>
    <numFmt numFmtId="178" formatCode="#,##0;[Red]#,##0"/>
    <numFmt numFmtId="179" formatCode="_(* #,##0_);_(* \(#,##0\);_(* &quot;-&quot;_);_(@_)"/>
    <numFmt numFmtId="180" formatCode="[$-416]mmm\-yy;@"/>
    <numFmt numFmtId="181" formatCode="&quot;R$&quot;#,##0.00"/>
    <numFmt numFmtId="182" formatCode="_-* #,##0.00000_-;\-* #,##0.00000_-;_-* &quot;-&quot;??_-;_-@_-"/>
    <numFmt numFmtId="183" formatCode="#,##0.000000"/>
    <numFmt numFmtId="184" formatCode="_-* #,##0.0000_-;\-* #,##0.0000_-;_-* &quot;-&quot;??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4"/>
      <color indexed="18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1"/>
      <color theme="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sz val="9"/>
      <color indexed="1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vertAlign val="superscript"/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i/>
      <sz val="14"/>
      <color rgb="FF1F497D"/>
      <name val="Calibri"/>
      <family val="2"/>
      <scheme val="minor"/>
    </font>
    <font>
      <sz val="11"/>
      <color theme="3"/>
      <name val="Calibri"/>
      <family val="2"/>
    </font>
    <font>
      <b/>
      <vertAlign val="subscript"/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0"/>
      <color theme="3"/>
      <name val="Calibri"/>
      <family val="2"/>
      <scheme val="minor"/>
    </font>
    <font>
      <vertAlign val="subscript"/>
      <sz val="11"/>
      <color theme="3"/>
      <name val="Calibri"/>
      <family val="2"/>
      <scheme val="minor"/>
    </font>
    <font>
      <vertAlign val="superscript"/>
      <sz val="11"/>
      <color theme="3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Arial"/>
      <family val="2"/>
    </font>
    <font>
      <sz val="9"/>
      <color theme="3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38"/>
      </patternFill>
    </fill>
    <fill>
      <patternFill patternType="solid">
        <fgColor theme="4" tint="-0.249977111117893"/>
        <bgColor indexed="38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0" tint="-4.9989318521683403E-2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vertical="top"/>
    </xf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3" fillId="0" borderId="0"/>
    <xf numFmtId="0" fontId="4" fillId="0" borderId="0"/>
    <xf numFmtId="168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4" fillId="0" borderId="0">
      <alignment vertical="top"/>
    </xf>
    <xf numFmtId="0" fontId="56" fillId="0" borderId="0" applyNumberFormat="0" applyFill="0" applyBorder="0" applyAlignment="0" applyProtection="0"/>
  </cellStyleXfs>
  <cellXfs count="469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43" fontId="0" fillId="0" borderId="0" xfId="0" applyNumberFormat="1"/>
    <xf numFmtId="0" fontId="4" fillId="0" borderId="0" xfId="4">
      <alignment vertical="top"/>
    </xf>
    <xf numFmtId="3" fontId="4" fillId="0" borderId="0" xfId="4" applyNumberFormat="1">
      <alignment vertical="top"/>
    </xf>
    <xf numFmtId="0" fontId="6" fillId="4" borderId="0" xfId="0" applyFont="1" applyFill="1" applyAlignment="1">
      <alignment vertical="top"/>
    </xf>
    <xf numFmtId="0" fontId="6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9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5" fillId="3" borderId="0" xfId="9" applyFont="1" applyFill="1" applyAlignment="1">
      <alignment horizontal="center" vertical="center"/>
    </xf>
    <xf numFmtId="0" fontId="0" fillId="0" borderId="0" xfId="0" applyAlignment="1">
      <alignment horizontal="center"/>
    </xf>
    <xf numFmtId="4" fontId="6" fillId="4" borderId="0" xfId="0" applyNumberFormat="1" applyFont="1" applyFill="1" applyAlignment="1">
      <alignment vertical="top"/>
    </xf>
    <xf numFmtId="43" fontId="6" fillId="4" borderId="0" xfId="1" applyFont="1" applyFill="1" applyAlignment="1">
      <alignment vertical="top"/>
    </xf>
    <xf numFmtId="43" fontId="6" fillId="4" borderId="0" xfId="0" applyNumberFormat="1" applyFont="1" applyFill="1" applyAlignment="1">
      <alignment vertical="top"/>
    </xf>
    <xf numFmtId="0" fontId="0" fillId="0" borderId="0" xfId="0" applyAlignment="1">
      <alignment horizontal="center" vertical="top" wrapText="1"/>
    </xf>
    <xf numFmtId="10" fontId="5" fillId="3" borderId="0" xfId="3" applyNumberFormat="1" applyFont="1" applyFill="1"/>
    <xf numFmtId="43" fontId="0" fillId="0" borderId="0" xfId="1" applyFont="1"/>
    <xf numFmtId="0" fontId="9" fillId="0" borderId="0" xfId="0" applyFont="1"/>
    <xf numFmtId="0" fontId="5" fillId="0" borderId="0" xfId="9" applyFont="1"/>
    <xf numFmtId="176" fontId="5" fillId="3" borderId="0" xfId="9" applyNumberFormat="1" applyFont="1" applyFill="1"/>
    <xf numFmtId="165" fontId="8" fillId="0" borderId="0" xfId="0" applyNumberFormat="1" applyFont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73" fontId="0" fillId="0" borderId="0" xfId="1" applyNumberFormat="1" applyFont="1" applyAlignment="1">
      <alignment horizontal="center" vertical="top" wrapText="1"/>
    </xf>
    <xf numFmtId="0" fontId="0" fillId="4" borderId="0" xfId="0" applyFill="1"/>
    <xf numFmtId="167" fontId="5" fillId="3" borderId="0" xfId="1" applyNumberFormat="1" applyFont="1" applyFill="1" applyAlignment="1">
      <alignment horizontal="center" vertical="center"/>
    </xf>
    <xf numFmtId="167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left"/>
    </xf>
    <xf numFmtId="171" fontId="5" fillId="0" borderId="0" xfId="0" applyNumberFormat="1" applyFont="1" applyAlignment="1">
      <alignment horizontal="left"/>
    </xf>
    <xf numFmtId="10" fontId="5" fillId="4" borderId="0" xfId="3" applyNumberFormat="1" applyFont="1" applyFill="1"/>
    <xf numFmtId="10" fontId="0" fillId="0" borderId="0" xfId="3" applyNumberFormat="1" applyFont="1"/>
    <xf numFmtId="2" fontId="17" fillId="3" borderId="0" xfId="9" applyNumberFormat="1" applyFont="1" applyFill="1"/>
    <xf numFmtId="0" fontId="2" fillId="4" borderId="0" xfId="0" applyFont="1" applyFill="1" applyAlignment="1">
      <alignment horizontal="left" vertical="center" wrapText="1"/>
    </xf>
    <xf numFmtId="3" fontId="2" fillId="4" borderId="0" xfId="0" applyNumberFormat="1" applyFont="1" applyFill="1" applyAlignment="1">
      <alignment horizontal="right" vertical="center"/>
    </xf>
    <xf numFmtId="0" fontId="22" fillId="0" borderId="0" xfId="0" applyFont="1"/>
    <xf numFmtId="0" fontId="20" fillId="0" borderId="0" xfId="0" applyFont="1"/>
    <xf numFmtId="0" fontId="20" fillId="3" borderId="0" xfId="9" applyFont="1" applyFill="1" applyAlignment="1">
      <alignment horizontal="center" vertical="center"/>
    </xf>
    <xf numFmtId="0" fontId="23" fillId="3" borderId="0" xfId="9" applyFont="1" applyFill="1" applyAlignment="1">
      <alignment horizontal="left" vertical="center"/>
    </xf>
    <xf numFmtId="0" fontId="27" fillId="7" borderId="0" xfId="0" applyFont="1" applyFill="1"/>
    <xf numFmtId="0" fontId="28" fillId="7" borderId="0" xfId="14" applyFont="1" applyFill="1" applyAlignment="1">
      <alignment horizontal="left" vertical="center" indent="1"/>
    </xf>
    <xf numFmtId="0" fontId="27" fillId="4" borderId="0" xfId="0" applyFont="1" applyFill="1"/>
    <xf numFmtId="0" fontId="28" fillId="7" borderId="0" xfId="0" applyFont="1" applyFill="1" applyAlignment="1">
      <alignment horizontal="left" indent="1"/>
    </xf>
    <xf numFmtId="0" fontId="29" fillId="7" borderId="0" xfId="14" applyFont="1" applyFill="1" applyAlignment="1">
      <alignment horizontal="left" vertical="center" indent="1"/>
    </xf>
    <xf numFmtId="0" fontId="30" fillId="7" borderId="0" xfId="13" applyFont="1" applyFill="1" applyAlignment="1">
      <alignment horizontal="center" vertical="center"/>
    </xf>
    <xf numFmtId="0" fontId="4" fillId="4" borderId="0" xfId="13" applyFill="1"/>
    <xf numFmtId="0" fontId="29" fillId="4" borderId="0" xfId="14" applyFont="1" applyFill="1" applyAlignment="1">
      <alignment horizontal="left" vertical="center" indent="1"/>
    </xf>
    <xf numFmtId="0" fontId="30" fillId="4" borderId="0" xfId="13" applyFont="1" applyFill="1" applyAlignment="1">
      <alignment horizontal="center" vertical="center"/>
    </xf>
    <xf numFmtId="0" fontId="0" fillId="4" borderId="2" xfId="0" applyFill="1" applyBorder="1"/>
    <xf numFmtId="0" fontId="0" fillId="4" borderId="7" xfId="0" applyFill="1" applyBorder="1"/>
    <xf numFmtId="0" fontId="4" fillId="4" borderId="7" xfId="13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4" fillId="4" borderId="0" xfId="13" applyFill="1" applyAlignment="1">
      <alignment vertical="center"/>
    </xf>
    <xf numFmtId="43" fontId="4" fillId="4" borderId="0" xfId="1" applyFont="1" applyFill="1" applyBorder="1" applyAlignment="1">
      <alignment vertical="center"/>
    </xf>
    <xf numFmtId="0" fontId="0" fillId="4" borderId="8" xfId="0" applyFill="1" applyBorder="1"/>
    <xf numFmtId="0" fontId="4" fillId="4" borderId="9" xfId="13" applyFill="1" applyBorder="1"/>
    <xf numFmtId="0" fontId="0" fillId="4" borderId="10" xfId="0" applyFill="1" applyBorder="1"/>
    <xf numFmtId="0" fontId="0" fillId="4" borderId="11" xfId="0" applyFill="1" applyBorder="1"/>
    <xf numFmtId="0" fontId="31" fillId="2" borderId="7" xfId="13" applyFont="1" applyFill="1" applyBorder="1" applyAlignment="1">
      <alignment vertical="center"/>
    </xf>
    <xf numFmtId="0" fontId="31" fillId="2" borderId="7" xfId="13" applyFont="1" applyFill="1" applyBorder="1" applyAlignment="1">
      <alignment horizontal="center" vertical="center"/>
    </xf>
    <xf numFmtId="0" fontId="0" fillId="4" borderId="12" xfId="0" applyFill="1" applyBorder="1"/>
    <xf numFmtId="0" fontId="4" fillId="4" borderId="0" xfId="14" applyFill="1" applyAlignment="1">
      <alignment vertical="center"/>
    </xf>
    <xf numFmtId="179" fontId="4" fillId="4" borderId="0" xfId="11" applyNumberFormat="1" applyFont="1" applyFill="1" applyBorder="1"/>
    <xf numFmtId="0" fontId="4" fillId="4" borderId="0" xfId="14" applyFill="1" applyAlignment="1">
      <alignment horizontal="left" vertical="center"/>
    </xf>
    <xf numFmtId="10" fontId="4" fillId="4" borderId="0" xfId="3" applyNumberFormat="1" applyFont="1" applyFill="1" applyBorder="1"/>
    <xf numFmtId="0" fontId="31" fillId="4" borderId="9" xfId="13" applyFont="1" applyFill="1" applyBorder="1" applyAlignment="1">
      <alignment vertical="center"/>
    </xf>
    <xf numFmtId="179" fontId="31" fillId="4" borderId="9" xfId="11" applyNumberFormat="1" applyFont="1" applyFill="1" applyBorder="1"/>
    <xf numFmtId="0" fontId="31" fillId="4" borderId="0" xfId="14" applyFont="1" applyFill="1" applyAlignment="1">
      <alignment vertical="center"/>
    </xf>
    <xf numFmtId="179" fontId="31" fillId="4" borderId="0" xfId="11" applyNumberFormat="1" applyFont="1" applyFill="1" applyBorder="1"/>
    <xf numFmtId="0" fontId="4" fillId="4" borderId="0" xfId="14" applyFill="1" applyAlignment="1">
      <alignment horizontal="left" vertical="center" indent="1"/>
    </xf>
    <xf numFmtId="0" fontId="31" fillId="4" borderId="0" xfId="13" applyFont="1" applyFill="1" applyAlignment="1">
      <alignment vertical="center"/>
    </xf>
    <xf numFmtId="0" fontId="31" fillId="2" borderId="9" xfId="13" applyFont="1" applyFill="1" applyBorder="1" applyAlignment="1">
      <alignment vertical="center"/>
    </xf>
    <xf numFmtId="0" fontId="31" fillId="2" borderId="9" xfId="13" applyFont="1" applyFill="1" applyBorder="1" applyAlignment="1">
      <alignment horizontal="center" vertical="center"/>
    </xf>
    <xf numFmtId="0" fontId="31" fillId="5" borderId="0" xfId="14" applyFont="1" applyFill="1" applyAlignment="1">
      <alignment vertical="center"/>
    </xf>
    <xf numFmtId="10" fontId="31" fillId="5" borderId="0" xfId="3" applyNumberFormat="1" applyFont="1" applyFill="1" applyBorder="1" applyAlignment="1">
      <alignment vertical="center"/>
    </xf>
    <xf numFmtId="0" fontId="0" fillId="4" borderId="13" xfId="0" applyFill="1" applyBorder="1"/>
    <xf numFmtId="0" fontId="4" fillId="4" borderId="14" xfId="13" applyFill="1" applyBorder="1"/>
    <xf numFmtId="0" fontId="0" fillId="4" borderId="15" xfId="0" applyFill="1" applyBorder="1"/>
    <xf numFmtId="0" fontId="0" fillId="4" borderId="6" xfId="0" applyFill="1" applyBorder="1"/>
    <xf numFmtId="0" fontId="0" fillId="4" borderId="16" xfId="0" applyFill="1" applyBorder="1"/>
    <xf numFmtId="0" fontId="4" fillId="4" borderId="16" xfId="13" applyFill="1" applyBorder="1"/>
    <xf numFmtId="0" fontId="0" fillId="4" borderId="17" xfId="0" applyFill="1" applyBorder="1"/>
    <xf numFmtId="4" fontId="5" fillId="3" borderId="0" xfId="9" applyNumberFormat="1" applyFont="1" applyFill="1"/>
    <xf numFmtId="10" fontId="5" fillId="3" borderId="0" xfId="3" applyNumberFormat="1" applyFont="1" applyFill="1" applyAlignment="1">
      <alignment horizontal="center" vertical="center"/>
    </xf>
    <xf numFmtId="3" fontId="5" fillId="3" borderId="0" xfId="9" applyNumberFormat="1" applyFont="1" applyFill="1"/>
    <xf numFmtId="3" fontId="5" fillId="3" borderId="0" xfId="9" applyNumberFormat="1" applyFont="1" applyFill="1" applyAlignment="1">
      <alignment horizontal="center" vertical="center"/>
    </xf>
    <xf numFmtId="3" fontId="0" fillId="0" borderId="0" xfId="0" applyNumberFormat="1"/>
    <xf numFmtId="3" fontId="6" fillId="4" borderId="0" xfId="0" applyNumberFormat="1" applyFont="1" applyFill="1" applyAlignment="1">
      <alignment vertical="top"/>
    </xf>
    <xf numFmtId="176" fontId="5" fillId="3" borderId="0" xfId="9" applyNumberFormat="1" applyFont="1" applyFill="1" applyAlignment="1">
      <alignment horizontal="left"/>
    </xf>
    <xf numFmtId="43" fontId="5" fillId="3" borderId="0" xfId="1" applyFont="1" applyFill="1"/>
    <xf numFmtId="0" fontId="8" fillId="6" borderId="0" xfId="0" applyFont="1" applyFill="1" applyAlignment="1">
      <alignment horizontal="center" vertical="center" wrapText="1"/>
    </xf>
    <xf numFmtId="10" fontId="32" fillId="6" borderId="0" xfId="0" applyNumberFormat="1" applyFont="1" applyFill="1" applyAlignment="1">
      <alignment vertical="center"/>
    </xf>
    <xf numFmtId="10" fontId="32" fillId="6" borderId="0" xfId="3" applyNumberFormat="1" applyFont="1" applyFill="1" applyBorder="1" applyAlignment="1">
      <alignment horizontal="center" vertical="center"/>
    </xf>
    <xf numFmtId="43" fontId="5" fillId="3" borderId="0" xfId="9" applyNumberFormat="1" applyFont="1" applyFill="1"/>
    <xf numFmtId="0" fontId="8" fillId="4" borderId="0" xfId="0" applyFont="1" applyFill="1" applyAlignment="1">
      <alignment horizontal="center" vertical="center" wrapText="1"/>
    </xf>
    <xf numFmtId="10" fontId="33" fillId="4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17" fontId="14" fillId="4" borderId="0" xfId="0" applyNumberFormat="1" applyFont="1" applyFill="1" applyAlignment="1">
      <alignment horizontal="left" vertical="center"/>
    </xf>
    <xf numFmtId="17" fontId="14" fillId="4" borderId="0" xfId="0" applyNumberFormat="1" applyFont="1" applyFill="1" applyAlignment="1">
      <alignment horizontal="center" vertical="center"/>
    </xf>
    <xf numFmtId="3" fontId="14" fillId="4" borderId="0" xfId="2" applyNumberFormat="1" applyFont="1" applyFill="1" applyBorder="1" applyAlignment="1">
      <alignment vertical="center"/>
    </xf>
    <xf numFmtId="10" fontId="0" fillId="0" borderId="0" xfId="0" applyNumberFormat="1"/>
    <xf numFmtId="0" fontId="34" fillId="0" borderId="0" xfId="0" applyFont="1" applyAlignment="1">
      <alignment vertical="center" wrapText="1"/>
    </xf>
    <xf numFmtId="0" fontId="36" fillId="4" borderId="0" xfId="0" applyFont="1" applyFill="1" applyAlignment="1">
      <alignment horizontal="center" vertical="center"/>
    </xf>
    <xf numFmtId="0" fontId="0" fillId="10" borderId="0" xfId="0" applyFill="1"/>
    <xf numFmtId="49" fontId="38" fillId="4" borderId="0" xfId="2" applyNumberFormat="1" applyFont="1" applyFill="1" applyBorder="1" applyAlignment="1"/>
    <xf numFmtId="49" fontId="39" fillId="4" borderId="0" xfId="2" applyNumberFormat="1" applyFont="1" applyFill="1" applyBorder="1" applyAlignment="1"/>
    <xf numFmtId="0" fontId="37" fillId="4" borderId="0" xfId="0" applyFont="1" applyFill="1" applyAlignment="1">
      <alignment vertical="center"/>
    </xf>
    <xf numFmtId="0" fontId="20" fillId="0" borderId="0" xfId="0" applyFont="1" applyAlignment="1">
      <alignment wrapText="1"/>
    </xf>
    <xf numFmtId="10" fontId="20" fillId="0" borderId="0" xfId="3" applyNumberFormat="1" applyFont="1"/>
    <xf numFmtId="3" fontId="20" fillId="0" borderId="0" xfId="0" applyNumberFormat="1" applyFont="1"/>
    <xf numFmtId="0" fontId="40" fillId="0" borderId="0" xfId="0" applyFont="1"/>
    <xf numFmtId="166" fontId="20" fillId="0" borderId="0" xfId="0" applyNumberFormat="1" applyFont="1"/>
    <xf numFmtId="175" fontId="14" fillId="3" borderId="0" xfId="0" applyNumberFormat="1" applyFont="1" applyFill="1" applyAlignment="1">
      <alignment horizontal="left" wrapText="1"/>
    </xf>
    <xf numFmtId="9" fontId="20" fillId="0" borderId="0" xfId="0" applyNumberFormat="1" applyFont="1"/>
    <xf numFmtId="10" fontId="20" fillId="0" borderId="0" xfId="0" applyNumberFormat="1" applyFont="1"/>
    <xf numFmtId="0" fontId="2" fillId="10" borderId="18" xfId="0" applyFont="1" applyFill="1" applyBorder="1" applyAlignment="1">
      <alignment horizontal="center" vertical="center"/>
    </xf>
    <xf numFmtId="10" fontId="2" fillId="10" borderId="18" xfId="3" applyNumberFormat="1" applyFont="1" applyFill="1" applyBorder="1" applyAlignment="1">
      <alignment vertical="center"/>
    </xf>
    <xf numFmtId="43" fontId="2" fillId="10" borderId="18" xfId="1" applyFont="1" applyFill="1" applyBorder="1" applyAlignment="1">
      <alignment vertical="center"/>
    </xf>
    <xf numFmtId="10" fontId="5" fillId="0" borderId="0" xfId="3" applyNumberFormat="1" applyFont="1" applyAlignment="1">
      <alignment vertical="center"/>
    </xf>
    <xf numFmtId="0" fontId="41" fillId="0" borderId="0" xfId="0" applyFont="1" applyAlignment="1">
      <alignment vertical="center" wrapText="1"/>
    </xf>
    <xf numFmtId="3" fontId="2" fillId="10" borderId="18" xfId="0" applyNumberFormat="1" applyFont="1" applyFill="1" applyBorder="1" applyAlignment="1">
      <alignment vertical="center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3" fontId="14" fillId="0" borderId="0" xfId="2" applyNumberFormat="1" applyFont="1" applyFill="1" applyBorder="1" applyAlignment="1" applyProtection="1">
      <alignment horizontal="right"/>
      <protection locked="0"/>
    </xf>
    <xf numFmtId="43" fontId="20" fillId="0" borderId="0" xfId="1" applyFont="1"/>
    <xf numFmtId="3" fontId="24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17" fontId="38" fillId="12" borderId="18" xfId="0" applyNumberFormat="1" applyFont="1" applyFill="1" applyBorder="1" applyAlignment="1">
      <alignment horizontal="center" vertical="center" wrapText="1"/>
    </xf>
    <xf numFmtId="3" fontId="38" fillId="4" borderId="18" xfId="2" applyNumberFormat="1" applyFont="1" applyFill="1" applyBorder="1" applyAlignment="1" applyProtection="1">
      <alignment horizontal="right"/>
      <protection locked="0"/>
    </xf>
    <xf numFmtId="3" fontId="38" fillId="11" borderId="18" xfId="0" applyNumberFormat="1" applyFont="1" applyFill="1" applyBorder="1" applyAlignment="1">
      <alignment vertical="center"/>
    </xf>
    <xf numFmtId="0" fontId="38" fillId="5" borderId="18" xfId="0" applyFont="1" applyFill="1" applyBorder="1" applyAlignment="1">
      <alignment horizontal="center" vertical="center" wrapText="1"/>
    </xf>
    <xf numFmtId="43" fontId="38" fillId="11" borderId="18" xfId="1" applyFont="1" applyFill="1" applyBorder="1" applyAlignment="1" applyProtection="1">
      <alignment horizontal="right"/>
      <protection locked="0"/>
    </xf>
    <xf numFmtId="170" fontId="38" fillId="4" borderId="18" xfId="0" applyNumberFormat="1" applyFont="1" applyFill="1" applyBorder="1" applyAlignment="1">
      <alignment horizontal="center" wrapText="1"/>
    </xf>
    <xf numFmtId="3" fontId="38" fillId="11" borderId="18" xfId="2" applyNumberFormat="1" applyFont="1" applyFill="1" applyBorder="1" applyAlignment="1" applyProtection="1">
      <alignment horizontal="right"/>
      <protection locked="0"/>
    </xf>
    <xf numFmtId="43" fontId="38" fillId="11" borderId="18" xfId="1" applyFont="1" applyFill="1" applyBorder="1" applyAlignment="1">
      <alignment horizontal="center" vertical="center" wrapText="1"/>
    </xf>
    <xf numFmtId="167" fontId="38" fillId="11" borderId="18" xfId="1" applyNumberFormat="1" applyFont="1" applyFill="1" applyBorder="1" applyAlignment="1">
      <alignment horizontal="center" vertical="center" wrapText="1"/>
    </xf>
    <xf numFmtId="0" fontId="38" fillId="4" borderId="18" xfId="0" applyFont="1" applyFill="1" applyBorder="1" applyAlignment="1">
      <alignment horizontal="center" vertical="center"/>
    </xf>
    <xf numFmtId="0" fontId="37" fillId="9" borderId="18" xfId="0" applyFont="1" applyFill="1" applyBorder="1" applyAlignment="1">
      <alignment horizontal="left" vertical="center"/>
    </xf>
    <xf numFmtId="3" fontId="2" fillId="13" borderId="18" xfId="0" applyNumberFormat="1" applyFont="1" applyFill="1" applyBorder="1" applyAlignment="1">
      <alignment vertical="center"/>
    </xf>
    <xf numFmtId="0" fontId="38" fillId="12" borderId="18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45" fillId="0" borderId="0" xfId="0" applyFont="1"/>
    <xf numFmtId="170" fontId="38" fillId="4" borderId="0" xfId="0" applyNumberFormat="1" applyFont="1" applyFill="1" applyAlignment="1">
      <alignment horizontal="center" wrapText="1"/>
    </xf>
    <xf numFmtId="17" fontId="38" fillId="4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20" fillId="4" borderId="0" xfId="0" applyFont="1" applyFill="1"/>
    <xf numFmtId="0" fontId="38" fillId="4" borderId="0" xfId="0" applyFont="1" applyFill="1" applyAlignment="1">
      <alignment vertical="center" wrapText="1"/>
    </xf>
    <xf numFmtId="0" fontId="38" fillId="4" borderId="0" xfId="0" applyFont="1" applyFill="1" applyAlignment="1">
      <alignment horizontal="center" vertical="center" wrapText="1"/>
    </xf>
    <xf numFmtId="175" fontId="38" fillId="4" borderId="0" xfId="0" applyNumberFormat="1" applyFont="1" applyFill="1" applyAlignment="1">
      <alignment wrapText="1"/>
    </xf>
    <xf numFmtId="43" fontId="38" fillId="4" borderId="0" xfId="1" applyFont="1" applyFill="1" applyBorder="1" applyAlignment="1" applyProtection="1">
      <alignment horizontal="right"/>
      <protection locked="0"/>
    </xf>
    <xf numFmtId="0" fontId="20" fillId="4" borderId="0" xfId="0" applyFont="1" applyFill="1" applyAlignment="1">
      <alignment wrapText="1"/>
    </xf>
    <xf numFmtId="3" fontId="38" fillId="4" borderId="0" xfId="2" applyNumberFormat="1" applyFont="1" applyFill="1" applyBorder="1" applyAlignment="1" applyProtection="1">
      <alignment horizontal="right"/>
      <protection locked="0"/>
    </xf>
    <xf numFmtId="10" fontId="20" fillId="4" borderId="0" xfId="3" applyNumberFormat="1" applyFont="1" applyFill="1" applyBorder="1"/>
    <xf numFmtId="0" fontId="2" fillId="4" borderId="0" xfId="0" applyFont="1" applyFill="1" applyAlignment="1">
      <alignment horizontal="center" vertical="center"/>
    </xf>
    <xf numFmtId="43" fontId="2" fillId="4" borderId="0" xfId="1" applyFont="1" applyFill="1" applyBorder="1" applyAlignment="1">
      <alignment vertical="center"/>
    </xf>
    <xf numFmtId="10" fontId="2" fillId="4" borderId="0" xfId="3" applyNumberFormat="1" applyFont="1" applyFill="1" applyBorder="1" applyAlignment="1">
      <alignment vertical="center"/>
    </xf>
    <xf numFmtId="0" fontId="22" fillId="4" borderId="0" xfId="0" applyFont="1" applyFill="1"/>
    <xf numFmtId="3" fontId="20" fillId="4" borderId="0" xfId="0" applyNumberFormat="1" applyFont="1" applyFill="1"/>
    <xf numFmtId="0" fontId="45" fillId="4" borderId="0" xfId="0" applyFont="1" applyFill="1"/>
    <xf numFmtId="0" fontId="40" fillId="4" borderId="0" xfId="0" applyFont="1" applyFill="1"/>
    <xf numFmtId="166" fontId="20" fillId="4" borderId="0" xfId="0" applyNumberFormat="1" applyFont="1" applyFill="1"/>
    <xf numFmtId="175" fontId="14" fillId="4" borderId="0" xfId="0" applyNumberFormat="1" applyFont="1" applyFill="1" applyAlignment="1">
      <alignment horizontal="left" wrapText="1"/>
    </xf>
    <xf numFmtId="43" fontId="38" fillId="4" borderId="0" xfId="1" applyFont="1" applyFill="1" applyBorder="1" applyAlignment="1">
      <alignment horizontal="center" vertical="center" wrapText="1"/>
    </xf>
    <xf numFmtId="167" fontId="38" fillId="4" borderId="0" xfId="1" applyNumberFormat="1" applyFont="1" applyFill="1" applyBorder="1" applyAlignment="1">
      <alignment horizontal="center" vertical="center" wrapText="1"/>
    </xf>
    <xf numFmtId="43" fontId="38" fillId="4" borderId="0" xfId="1" applyFont="1" applyFill="1" applyBorder="1" applyAlignment="1">
      <alignment vertical="center"/>
    </xf>
    <xf numFmtId="167" fontId="38" fillId="4" borderId="18" xfId="1" applyNumberFormat="1" applyFont="1" applyFill="1" applyBorder="1" applyAlignment="1">
      <alignment horizontal="right"/>
    </xf>
    <xf numFmtId="9" fontId="38" fillId="4" borderId="18" xfId="0" applyNumberFormat="1" applyFont="1" applyFill="1" applyBorder="1" applyAlignment="1">
      <alignment horizontal="right"/>
    </xf>
    <xf numFmtId="2" fontId="38" fillId="4" borderId="18" xfId="0" applyNumberFormat="1" applyFont="1" applyFill="1" applyBorder="1" applyAlignment="1">
      <alignment horizontal="right"/>
    </xf>
    <xf numFmtId="43" fontId="37" fillId="4" borderId="18" xfId="1" applyFont="1" applyFill="1" applyBorder="1" applyAlignment="1">
      <alignment horizontal="center"/>
    </xf>
    <xf numFmtId="43" fontId="37" fillId="11" borderId="18" xfId="0" applyNumberFormat="1" applyFont="1" applyFill="1" applyBorder="1" applyAlignment="1">
      <alignment horizontal="center"/>
    </xf>
    <xf numFmtId="49" fontId="39" fillId="4" borderId="0" xfId="2" applyNumberFormat="1" applyFont="1" applyFill="1" applyBorder="1" applyAlignment="1">
      <alignment horizontal="left"/>
    </xf>
    <xf numFmtId="43" fontId="38" fillId="11" borderId="18" xfId="1" applyFont="1" applyFill="1" applyBorder="1" applyAlignment="1">
      <alignment horizontal="center" vertical="center"/>
    </xf>
    <xf numFmtId="10" fontId="2" fillId="10" borderId="18" xfId="3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top"/>
    </xf>
    <xf numFmtId="167" fontId="38" fillId="4" borderId="0" xfId="1" applyNumberFormat="1" applyFont="1" applyFill="1" applyBorder="1" applyAlignment="1">
      <alignment horizontal="right"/>
    </xf>
    <xf numFmtId="9" fontId="38" fillId="4" borderId="0" xfId="0" applyNumberFormat="1" applyFont="1" applyFill="1" applyAlignment="1">
      <alignment horizontal="right"/>
    </xf>
    <xf numFmtId="2" fontId="38" fillId="4" borderId="0" xfId="0" applyNumberFormat="1" applyFont="1" applyFill="1" applyAlignment="1">
      <alignment horizontal="right"/>
    </xf>
    <xf numFmtId="43" fontId="37" fillId="4" borderId="0" xfId="1" applyFont="1" applyFill="1" applyBorder="1" applyAlignment="1">
      <alignment horizontal="center"/>
    </xf>
    <xf numFmtId="167" fontId="38" fillId="11" borderId="18" xfId="1" applyNumberFormat="1" applyFont="1" applyFill="1" applyBorder="1" applyAlignment="1">
      <alignment horizontal="right"/>
    </xf>
    <xf numFmtId="0" fontId="47" fillId="0" borderId="0" xfId="0" applyFont="1" applyAlignment="1">
      <alignment horizontal="center" vertical="center" readingOrder="1"/>
    </xf>
    <xf numFmtId="0" fontId="3" fillId="4" borderId="0" xfId="0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3" fontId="0" fillId="4" borderId="0" xfId="0" applyNumberFormat="1" applyFill="1"/>
    <xf numFmtId="3" fontId="26" fillId="4" borderId="0" xfId="4" applyNumberFormat="1" applyFont="1" applyFill="1" applyAlignment="1">
      <alignment horizontal="center" vertical="center" wrapText="1"/>
    </xf>
    <xf numFmtId="0" fontId="0" fillId="10" borderId="0" xfId="0" applyFill="1" applyAlignment="1">
      <alignment horizontal="center"/>
    </xf>
    <xf numFmtId="3" fontId="0" fillId="4" borderId="0" xfId="0" applyNumberFormat="1" applyFill="1"/>
    <xf numFmtId="0" fontId="5" fillId="4" borderId="0" xfId="0" applyFont="1" applyFill="1"/>
    <xf numFmtId="0" fontId="5" fillId="4" borderId="0" xfId="9" applyFont="1" applyFill="1"/>
    <xf numFmtId="10" fontId="37" fillId="4" borderId="0" xfId="3" applyNumberFormat="1" applyFont="1" applyFill="1" applyBorder="1" applyAlignment="1">
      <alignment horizontal="right" vertical="center"/>
    </xf>
    <xf numFmtId="165" fontId="15" fillId="4" borderId="0" xfId="0" applyNumberFormat="1" applyFont="1" applyFill="1" applyAlignment="1">
      <alignment vertical="center"/>
    </xf>
    <xf numFmtId="165" fontId="14" fillId="4" borderId="0" xfId="2" applyNumberFormat="1" applyFont="1" applyFill="1" applyBorder="1" applyAlignment="1">
      <alignment horizontal="right"/>
    </xf>
    <xf numFmtId="0" fontId="20" fillId="4" borderId="0" xfId="9" applyFont="1" applyFill="1" applyAlignment="1">
      <alignment horizontal="center" vertical="center"/>
    </xf>
    <xf numFmtId="0" fontId="38" fillId="5" borderId="18" xfId="0" applyFont="1" applyFill="1" applyBorder="1" applyAlignment="1">
      <alignment vertical="center"/>
    </xf>
    <xf numFmtId="43" fontId="38" fillId="5" borderId="18" xfId="1" applyFont="1" applyFill="1" applyBorder="1" applyAlignment="1">
      <alignment horizontal="center" vertical="center"/>
    </xf>
    <xf numFmtId="4" fontId="38" fillId="5" borderId="18" xfId="0" applyNumberFormat="1" applyFont="1" applyFill="1" applyBorder="1" applyAlignment="1">
      <alignment horizontal="center"/>
    </xf>
    <xf numFmtId="43" fontId="37" fillId="4" borderId="18" xfId="1" applyFont="1" applyFill="1" applyBorder="1" applyAlignment="1">
      <alignment horizontal="right"/>
    </xf>
    <xf numFmtId="3" fontId="38" fillId="4" borderId="18" xfId="0" applyNumberFormat="1" applyFont="1" applyFill="1" applyBorder="1" applyAlignment="1">
      <alignment horizontal="right"/>
    </xf>
    <xf numFmtId="3" fontId="37" fillId="4" borderId="18" xfId="0" applyNumberFormat="1" applyFont="1" applyFill="1" applyBorder="1" applyAlignment="1">
      <alignment horizontal="right"/>
    </xf>
    <xf numFmtId="0" fontId="38" fillId="0" borderId="18" xfId="0" applyFont="1" applyBorder="1" applyAlignment="1">
      <alignment horizontal="center"/>
    </xf>
    <xf numFmtId="0" fontId="38" fillId="0" borderId="18" xfId="0" applyFont="1" applyBorder="1" applyAlignment="1">
      <alignment vertical="center"/>
    </xf>
    <xf numFmtId="174" fontId="37" fillId="4" borderId="18" xfId="0" applyNumberFormat="1" applyFont="1" applyFill="1" applyBorder="1" applyAlignment="1">
      <alignment horizontal="right"/>
    </xf>
    <xf numFmtId="3" fontId="38" fillId="0" borderId="18" xfId="0" applyNumberFormat="1" applyFont="1" applyBorder="1" applyAlignment="1">
      <alignment horizontal="left"/>
    </xf>
    <xf numFmtId="4" fontId="38" fillId="0" borderId="18" xfId="0" applyNumberFormat="1" applyFont="1" applyBorder="1" applyAlignment="1">
      <alignment horizontal="center"/>
    </xf>
    <xf numFmtId="178" fontId="38" fillId="4" borderId="18" xfId="0" applyNumberFormat="1" applyFont="1" applyFill="1" applyBorder="1" applyAlignment="1">
      <alignment horizontal="right"/>
    </xf>
    <xf numFmtId="3" fontId="38" fillId="11" borderId="18" xfId="0" applyNumberFormat="1" applyFont="1" applyFill="1" applyBorder="1"/>
    <xf numFmtId="3" fontId="38" fillId="11" borderId="18" xfId="0" applyNumberFormat="1" applyFont="1" applyFill="1" applyBorder="1" applyAlignment="1">
      <alignment horizontal="center"/>
    </xf>
    <xf numFmtId="0" fontId="37" fillId="5" borderId="18" xfId="0" applyFont="1" applyFill="1" applyBorder="1"/>
    <xf numFmtId="0" fontId="37" fillId="5" borderId="18" xfId="0" applyFont="1" applyFill="1" applyBorder="1" applyAlignment="1">
      <alignment horizontal="center"/>
    </xf>
    <xf numFmtId="178" fontId="37" fillId="5" borderId="18" xfId="0" applyNumberFormat="1" applyFont="1" applyFill="1" applyBorder="1"/>
    <xf numFmtId="167" fontId="38" fillId="0" borderId="18" xfId="1" applyNumberFormat="1" applyFont="1" applyBorder="1"/>
    <xf numFmtId="10" fontId="38" fillId="0" borderId="18" xfId="3" applyNumberFormat="1" applyFont="1" applyBorder="1"/>
    <xf numFmtId="177" fontId="38" fillId="0" borderId="18" xfId="1" applyNumberFormat="1" applyFont="1" applyBorder="1"/>
    <xf numFmtId="0" fontId="2" fillId="10" borderId="18" xfId="0" applyFont="1" applyFill="1" applyBorder="1" applyAlignment="1">
      <alignment horizontal="center"/>
    </xf>
    <xf numFmtId="43" fontId="2" fillId="10" borderId="18" xfId="1" applyFont="1" applyFill="1" applyBorder="1"/>
    <xf numFmtId="167" fontId="2" fillId="10" borderId="18" xfId="1" applyNumberFormat="1" applyFont="1" applyFill="1" applyBorder="1"/>
    <xf numFmtId="177" fontId="2" fillId="10" borderId="18" xfId="1" applyNumberFormat="1" applyFont="1" applyFill="1" applyBorder="1"/>
    <xf numFmtId="4" fontId="2" fillId="13" borderId="18" xfId="0" applyNumberFormat="1" applyFont="1" applyFill="1" applyBorder="1" applyAlignment="1">
      <alignment vertical="center"/>
    </xf>
    <xf numFmtId="178" fontId="38" fillId="11" borderId="18" xfId="0" applyNumberFormat="1" applyFont="1" applyFill="1" applyBorder="1" applyAlignment="1">
      <alignment horizontal="right"/>
    </xf>
    <xf numFmtId="178" fontId="37" fillId="11" borderId="18" xfId="0" applyNumberFormat="1" applyFont="1" applyFill="1" applyBorder="1" applyAlignment="1">
      <alignment horizontal="right"/>
    </xf>
    <xf numFmtId="0" fontId="37" fillId="11" borderId="18" xfId="0" applyFont="1" applyFill="1" applyBorder="1" applyAlignment="1">
      <alignment horizontal="center"/>
    </xf>
    <xf numFmtId="167" fontId="37" fillId="11" borderId="18" xfId="0" applyNumberFormat="1" applyFont="1" applyFill="1" applyBorder="1" applyAlignment="1">
      <alignment horizontal="center"/>
    </xf>
    <xf numFmtId="173" fontId="37" fillId="11" borderId="18" xfId="1" applyNumberFormat="1" applyFont="1" applyFill="1" applyBorder="1"/>
    <xf numFmtId="3" fontId="38" fillId="4" borderId="18" xfId="0" applyNumberFormat="1" applyFont="1" applyFill="1" applyBorder="1"/>
    <xf numFmtId="3" fontId="37" fillId="9" borderId="18" xfId="0" applyNumberFormat="1" applyFont="1" applyFill="1" applyBorder="1" applyAlignment="1">
      <alignment vertical="center"/>
    </xf>
    <xf numFmtId="0" fontId="47" fillId="0" borderId="0" xfId="0" applyFont="1" applyAlignment="1">
      <alignment horizontal="left" vertical="center" readingOrder="1"/>
    </xf>
    <xf numFmtId="4" fontId="37" fillId="4" borderId="18" xfId="0" applyNumberFormat="1" applyFont="1" applyFill="1" applyBorder="1"/>
    <xf numFmtId="4" fontId="37" fillId="4" borderId="18" xfId="0" applyNumberFormat="1" applyFont="1" applyFill="1" applyBorder="1" applyAlignment="1">
      <alignment horizontal="center"/>
    </xf>
    <xf numFmtId="3" fontId="38" fillId="4" borderId="18" xfId="0" applyNumberFormat="1" applyFont="1" applyFill="1" applyBorder="1" applyAlignment="1">
      <alignment horizontal="center"/>
    </xf>
    <xf numFmtId="3" fontId="37" fillId="4" borderId="18" xfId="0" applyNumberFormat="1" applyFont="1" applyFill="1" applyBorder="1"/>
    <xf numFmtId="3" fontId="37" fillId="4" borderId="18" xfId="0" applyNumberFormat="1" applyFont="1" applyFill="1" applyBorder="1" applyAlignment="1">
      <alignment horizontal="center"/>
    </xf>
    <xf numFmtId="0" fontId="38" fillId="4" borderId="18" xfId="0" applyFont="1" applyFill="1" applyBorder="1"/>
    <xf numFmtId="0" fontId="38" fillId="4" borderId="18" xfId="0" applyFont="1" applyFill="1" applyBorder="1" applyAlignment="1">
      <alignment horizontal="center"/>
    </xf>
    <xf numFmtId="0" fontId="38" fillId="4" borderId="18" xfId="0" applyFont="1" applyFill="1" applyBorder="1" applyAlignment="1">
      <alignment vertical="center"/>
    </xf>
    <xf numFmtId="0" fontId="37" fillId="4" borderId="18" xfId="0" applyFont="1" applyFill="1" applyBorder="1"/>
    <xf numFmtId="3" fontId="38" fillId="4" borderId="18" xfId="0" applyNumberFormat="1" applyFont="1" applyFill="1" applyBorder="1" applyAlignment="1">
      <alignment horizontal="left"/>
    </xf>
    <xf numFmtId="4" fontId="38" fillId="4" borderId="18" xfId="0" applyNumberFormat="1" applyFont="1" applyFill="1" applyBorder="1" applyAlignment="1">
      <alignment horizontal="center"/>
    </xf>
    <xf numFmtId="3" fontId="26" fillId="10" borderId="18" xfId="4" applyNumberFormat="1" applyFont="1" applyFill="1" applyBorder="1" applyAlignment="1">
      <alignment horizontal="center" vertical="center" wrapText="1"/>
    </xf>
    <xf numFmtId="17" fontId="38" fillId="0" borderId="18" xfId="0" applyNumberFormat="1" applyFont="1" applyBorder="1" applyAlignment="1">
      <alignment horizontal="center" vertical="center" wrapText="1"/>
    </xf>
    <xf numFmtId="0" fontId="38" fillId="3" borderId="18" xfId="0" applyFont="1" applyFill="1" applyBorder="1" applyAlignment="1">
      <alignment vertical="center"/>
    </xf>
    <xf numFmtId="17" fontId="38" fillId="0" borderId="18" xfId="4" applyNumberFormat="1" applyFont="1" applyBorder="1" applyAlignment="1">
      <alignment horizontal="center" vertical="center"/>
    </xf>
    <xf numFmtId="169" fontId="38" fillId="11" borderId="18" xfId="8" applyNumberFormat="1" applyFont="1" applyFill="1" applyBorder="1" applyAlignment="1">
      <alignment horizontal="center" vertical="center"/>
    </xf>
    <xf numFmtId="0" fontId="2" fillId="10" borderId="18" xfId="4" applyFont="1" applyFill="1" applyBorder="1" applyAlignment="1">
      <alignment horizontal="center" vertical="center" wrapText="1"/>
    </xf>
    <xf numFmtId="0" fontId="2" fillId="10" borderId="18" xfId="4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3" fontId="2" fillId="10" borderId="18" xfId="0" applyNumberFormat="1" applyFont="1" applyFill="1" applyBorder="1" applyAlignment="1">
      <alignment horizontal="right" vertical="center"/>
    </xf>
    <xf numFmtId="0" fontId="2" fillId="10" borderId="18" xfId="0" applyFont="1" applyFill="1" applyBorder="1" applyAlignment="1">
      <alignment horizontal="left" vertical="center" wrapText="1"/>
    </xf>
    <xf numFmtId="0" fontId="2" fillId="14" borderId="18" xfId="0" applyFont="1" applyFill="1" applyBorder="1" applyAlignment="1">
      <alignment horizontal="left" vertical="center" wrapText="1"/>
    </xf>
    <xf numFmtId="3" fontId="2" fillId="14" borderId="18" xfId="0" applyNumberFormat="1" applyFont="1" applyFill="1" applyBorder="1" applyAlignment="1">
      <alignment horizontal="right" vertical="center"/>
    </xf>
    <xf numFmtId="3" fontId="38" fillId="4" borderId="18" xfId="0" applyNumberFormat="1" applyFont="1" applyFill="1" applyBorder="1" applyAlignment="1">
      <alignment vertical="center"/>
    </xf>
    <xf numFmtId="43" fontId="50" fillId="4" borderId="18" xfId="1" applyFont="1" applyFill="1" applyBorder="1" applyAlignment="1">
      <alignment vertical="center"/>
    </xf>
    <xf numFmtId="43" fontId="50" fillId="4" borderId="0" xfId="1" applyFont="1" applyFill="1" applyBorder="1" applyAlignment="1">
      <alignment vertical="center"/>
    </xf>
    <xf numFmtId="171" fontId="38" fillId="11" borderId="18" xfId="0" applyNumberFormat="1" applyFont="1" applyFill="1" applyBorder="1" applyAlignment="1">
      <alignment horizontal="center" vertical="center" wrapText="1"/>
    </xf>
    <xf numFmtId="171" fontId="38" fillId="11" borderId="18" xfId="0" applyNumberFormat="1" applyFont="1" applyFill="1" applyBorder="1" applyAlignment="1">
      <alignment horizontal="right" vertical="center" wrapText="1"/>
    </xf>
    <xf numFmtId="0" fontId="6" fillId="10" borderId="0" xfId="0" applyFont="1" applyFill="1" applyAlignment="1">
      <alignment vertical="top"/>
    </xf>
    <xf numFmtId="0" fontId="7" fillId="10" borderId="0" xfId="0" applyFont="1" applyFill="1" applyAlignment="1">
      <alignment vertical="top"/>
    </xf>
    <xf numFmtId="10" fontId="38" fillId="4" borderId="18" xfId="3" applyNumberFormat="1" applyFont="1" applyFill="1" applyBorder="1" applyAlignment="1">
      <alignment horizontal="center" vertical="center" wrapText="1"/>
    </xf>
    <xf numFmtId="17" fontId="38" fillId="0" borderId="18" xfId="0" applyNumberFormat="1" applyFont="1" applyBorder="1" applyAlignment="1">
      <alignment horizontal="left" vertical="center" wrapText="1"/>
    </xf>
    <xf numFmtId="17" fontId="38" fillId="8" borderId="18" xfId="0" applyNumberFormat="1" applyFont="1" applyFill="1" applyBorder="1" applyAlignment="1">
      <alignment horizontal="left" vertical="center" wrapText="1"/>
    </xf>
    <xf numFmtId="3" fontId="38" fillId="0" borderId="18" xfId="8" applyNumberFormat="1" applyFont="1" applyFill="1" applyBorder="1" applyAlignment="1">
      <alignment horizontal="center" vertical="center"/>
    </xf>
    <xf numFmtId="0" fontId="38" fillId="0" borderId="18" xfId="0" applyFont="1" applyBorder="1" applyAlignment="1">
      <alignment vertical="center" wrapText="1"/>
    </xf>
    <xf numFmtId="0" fontId="38" fillId="8" borderId="18" xfId="0" applyFont="1" applyFill="1" applyBorder="1" applyAlignment="1">
      <alignment vertical="center" wrapText="1"/>
    </xf>
    <xf numFmtId="0" fontId="37" fillId="0" borderId="18" xfId="0" applyFont="1" applyBorder="1" applyAlignment="1">
      <alignment vertical="center" wrapText="1"/>
    </xf>
    <xf numFmtId="3" fontId="37" fillId="0" borderId="18" xfId="0" applyNumberFormat="1" applyFont="1" applyBorder="1" applyAlignment="1">
      <alignment horizontal="center" vertical="center" wrapText="1"/>
    </xf>
    <xf numFmtId="10" fontId="38" fillId="11" borderId="18" xfId="0" applyNumberFormat="1" applyFont="1" applyFill="1" applyBorder="1" applyAlignment="1">
      <alignment horizontal="center" vertical="center" wrapText="1"/>
    </xf>
    <xf numFmtId="10" fontId="48" fillId="15" borderId="18" xfId="0" applyNumberFormat="1" applyFont="1" applyFill="1" applyBorder="1" applyAlignment="1">
      <alignment horizontal="center" vertical="center" wrapText="1"/>
    </xf>
    <xf numFmtId="3" fontId="48" fillId="6" borderId="18" xfId="0" applyNumberFormat="1" applyFont="1" applyFill="1" applyBorder="1" applyAlignment="1">
      <alignment horizontal="center" vertical="center" wrapText="1"/>
    </xf>
    <xf numFmtId="10" fontId="38" fillId="4" borderId="18" xfId="0" applyNumberFormat="1" applyFont="1" applyFill="1" applyBorder="1" applyAlignment="1">
      <alignment horizontal="center" vertical="center" wrapText="1"/>
    </xf>
    <xf numFmtId="10" fontId="38" fillId="4" borderId="18" xfId="2" applyNumberFormat="1" applyFont="1" applyFill="1" applyBorder="1" applyAlignment="1">
      <alignment horizontal="center" vertical="center"/>
    </xf>
    <xf numFmtId="10" fontId="48" fillId="6" borderId="18" xfId="0" applyNumberFormat="1" applyFont="1" applyFill="1" applyBorder="1" applyAlignment="1">
      <alignment horizontal="center" vertical="center" wrapText="1"/>
    </xf>
    <xf numFmtId="10" fontId="2" fillId="10" borderId="18" xfId="0" applyNumberFormat="1" applyFont="1" applyFill="1" applyBorder="1" applyAlignment="1">
      <alignment horizontal="center" vertical="center"/>
    </xf>
    <xf numFmtId="10" fontId="18" fillId="0" borderId="0" xfId="1" applyNumberFormat="1" applyFont="1" applyAlignment="1"/>
    <xf numFmtId="0" fontId="10" fillId="0" borderId="0" xfId="0" applyFont="1"/>
    <xf numFmtId="10" fontId="18" fillId="0" borderId="0" xfId="1" applyNumberFormat="1" applyFont="1" applyAlignment="1">
      <alignment horizontal="center"/>
    </xf>
    <xf numFmtId="0" fontId="14" fillId="4" borderId="0" xfId="0" applyFont="1" applyFill="1" applyAlignment="1">
      <alignment horizontal="center" vertical="center"/>
    </xf>
    <xf numFmtId="167" fontId="5" fillId="4" borderId="0" xfId="1" applyNumberFormat="1" applyFont="1" applyFill="1" applyBorder="1" applyAlignment="1">
      <alignment horizontal="center" vertical="center"/>
    </xf>
    <xf numFmtId="2" fontId="17" fillId="4" borderId="0" xfId="9" applyNumberFormat="1" applyFont="1" applyFill="1"/>
    <xf numFmtId="3" fontId="14" fillId="4" borderId="0" xfId="2" applyNumberFormat="1" applyFont="1" applyFill="1" applyBorder="1" applyAlignment="1">
      <alignment horizontal="right" vertical="center"/>
    </xf>
    <xf numFmtId="0" fontId="5" fillId="4" borderId="0" xfId="9" applyFont="1" applyFill="1" applyAlignment="1">
      <alignment horizontal="center" vertical="center"/>
    </xf>
    <xf numFmtId="10" fontId="5" fillId="4" borderId="0" xfId="3" applyNumberFormat="1" applyFont="1" applyFill="1" applyBorder="1"/>
    <xf numFmtId="176" fontId="5" fillId="4" borderId="0" xfId="9" applyNumberFormat="1" applyFont="1" applyFill="1"/>
    <xf numFmtId="176" fontId="5" fillId="4" borderId="0" xfId="9" applyNumberFormat="1" applyFont="1" applyFill="1" applyAlignment="1">
      <alignment horizontal="left"/>
    </xf>
    <xf numFmtId="10" fontId="5" fillId="4" borderId="0" xfId="3" applyNumberFormat="1" applyFont="1" applyFill="1" applyBorder="1" applyAlignment="1">
      <alignment horizontal="center" vertical="center"/>
    </xf>
    <xf numFmtId="4" fontId="5" fillId="4" borderId="0" xfId="9" applyNumberFormat="1" applyFont="1" applyFill="1"/>
    <xf numFmtId="43" fontId="5" fillId="4" borderId="0" xfId="3" applyNumberFormat="1" applyFont="1" applyFill="1" applyBorder="1" applyAlignment="1">
      <alignment horizontal="center" vertical="center"/>
    </xf>
    <xf numFmtId="0" fontId="47" fillId="0" borderId="0" xfId="0" applyFont="1" applyAlignment="1">
      <alignment vertical="center" readingOrder="1"/>
    </xf>
    <xf numFmtId="17" fontId="38" fillId="0" borderId="18" xfId="0" applyNumberFormat="1" applyFont="1" applyBorder="1" applyAlignment="1">
      <alignment horizontal="left"/>
    </xf>
    <xf numFmtId="17" fontId="38" fillId="0" borderId="18" xfId="0" applyNumberFormat="1" applyFont="1" applyBorder="1" applyAlignment="1">
      <alignment horizontal="center"/>
    </xf>
    <xf numFmtId="17" fontId="38" fillId="0" borderId="18" xfId="0" applyNumberFormat="1" applyFont="1" applyBorder="1" applyAlignment="1">
      <alignment horizontal="left" vertical="center"/>
    </xf>
    <xf numFmtId="17" fontId="38" fillId="0" borderId="18" xfId="0" applyNumberFormat="1" applyFont="1" applyBorder="1" applyAlignment="1">
      <alignment horizontal="center" vertical="center"/>
    </xf>
    <xf numFmtId="17" fontId="38" fillId="4" borderId="18" xfId="0" applyNumberFormat="1" applyFont="1" applyFill="1" applyBorder="1" applyAlignment="1">
      <alignment horizontal="left" vertical="center"/>
    </xf>
    <xf numFmtId="17" fontId="38" fillId="4" borderId="18" xfId="0" applyNumberFormat="1" applyFont="1" applyFill="1" applyBorder="1" applyAlignment="1">
      <alignment horizontal="center" vertical="center"/>
    </xf>
    <xf numFmtId="165" fontId="38" fillId="11" borderId="18" xfId="2" applyNumberFormat="1" applyFont="1" applyFill="1" applyBorder="1" applyAlignment="1">
      <alignment horizontal="right"/>
    </xf>
    <xf numFmtId="3" fontId="38" fillId="11" borderId="18" xfId="2" applyNumberFormat="1" applyFont="1" applyFill="1" applyBorder="1" applyAlignment="1">
      <alignment horizontal="right" vertical="center"/>
    </xf>
    <xf numFmtId="3" fontId="38" fillId="11" borderId="18" xfId="2" applyNumberFormat="1" applyFont="1" applyFill="1" applyBorder="1" applyAlignment="1">
      <alignment vertical="center"/>
    </xf>
    <xf numFmtId="0" fontId="5" fillId="10" borderId="0" xfId="9" applyFont="1" applyFill="1"/>
    <xf numFmtId="0" fontId="5" fillId="10" borderId="0" xfId="0" applyFont="1" applyFill="1"/>
    <xf numFmtId="17" fontId="38" fillId="0" borderId="22" xfId="0" applyNumberFormat="1" applyFont="1" applyBorder="1" applyAlignment="1">
      <alignment horizontal="left"/>
    </xf>
    <xf numFmtId="17" fontId="38" fillId="0" borderId="22" xfId="0" applyNumberFormat="1" applyFont="1" applyBorder="1" applyAlignment="1">
      <alignment horizontal="center"/>
    </xf>
    <xf numFmtId="165" fontId="38" fillId="11" borderId="22" xfId="2" applyNumberFormat="1" applyFont="1" applyFill="1" applyBorder="1" applyAlignment="1">
      <alignment horizontal="right"/>
    </xf>
    <xf numFmtId="0" fontId="7" fillId="10" borderId="0" xfId="0" applyFont="1" applyFill="1" applyAlignment="1">
      <alignment vertical="center"/>
    </xf>
    <xf numFmtId="0" fontId="20" fillId="10" borderId="0" xfId="0" applyFont="1" applyFill="1"/>
    <xf numFmtId="0" fontId="42" fillId="10" borderId="0" xfId="0" applyFont="1" applyFill="1" applyAlignment="1">
      <alignment vertical="center"/>
    </xf>
    <xf numFmtId="0" fontId="55" fillId="0" borderId="0" xfId="0" applyFont="1" applyAlignment="1">
      <alignment horizontal="center" vertical="center" wrapText="1"/>
    </xf>
    <xf numFmtId="164" fontId="55" fillId="0" borderId="0" xfId="0" applyNumberFormat="1" applyFont="1" applyAlignment="1">
      <alignment horizontal="center" vertical="center"/>
    </xf>
    <xf numFmtId="181" fontId="55" fillId="0" borderId="0" xfId="0" applyNumberFormat="1" applyFont="1" applyAlignment="1">
      <alignment horizontal="center" vertical="center" wrapText="1"/>
    </xf>
    <xf numFmtId="0" fontId="54" fillId="10" borderId="18" xfId="0" applyFont="1" applyFill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181" fontId="51" fillId="0" borderId="0" xfId="0" applyNumberFormat="1" applyFont="1" applyAlignment="1">
      <alignment horizontal="left" vertical="center"/>
    </xf>
    <xf numFmtId="0" fontId="57" fillId="0" borderId="0" xfId="18" applyFont="1" applyBorder="1" applyAlignment="1">
      <alignment vertical="center"/>
    </xf>
    <xf numFmtId="181" fontId="51" fillId="11" borderId="18" xfId="0" applyNumberFormat="1" applyFont="1" applyFill="1" applyBorder="1" applyAlignment="1">
      <alignment horizontal="center" vertical="center" wrapText="1"/>
    </xf>
    <xf numFmtId="8" fontId="5" fillId="3" borderId="0" xfId="9" applyNumberFormat="1" applyFont="1" applyFill="1" applyAlignment="1">
      <alignment horizontal="center" vertical="center"/>
    </xf>
    <xf numFmtId="17" fontId="58" fillId="4" borderId="0" xfId="18" applyNumberFormat="1" applyFont="1" applyFill="1" applyAlignment="1">
      <alignment horizontal="left" vertical="top"/>
    </xf>
    <xf numFmtId="10" fontId="16" fillId="10" borderId="21" xfId="3" applyNumberFormat="1" applyFont="1" applyFill="1" applyBorder="1" applyAlignment="1">
      <alignment vertical="center"/>
    </xf>
    <xf numFmtId="43" fontId="37" fillId="4" borderId="0" xfId="1" applyFont="1" applyFill="1" applyBorder="1"/>
    <xf numFmtId="3" fontId="38" fillId="4" borderId="0" xfId="4" applyNumberFormat="1" applyFont="1" applyFill="1" applyAlignment="1">
      <alignment vertical="center"/>
    </xf>
    <xf numFmtId="3" fontId="38" fillId="4" borderId="0" xfId="4" applyNumberFormat="1" applyFont="1" applyFill="1" applyAlignment="1">
      <alignment horizontal="left" vertical="center"/>
    </xf>
    <xf numFmtId="43" fontId="37" fillId="4" borderId="0" xfId="1" applyFont="1" applyFill="1" applyBorder="1" applyAlignment="1">
      <alignment wrapText="1"/>
    </xf>
    <xf numFmtId="10" fontId="38" fillId="4" borderId="0" xfId="3" applyNumberFormat="1" applyFont="1" applyFill="1" applyBorder="1" applyAlignment="1">
      <alignment vertical="center"/>
    </xf>
    <xf numFmtId="0" fontId="37" fillId="4" borderId="0" xfId="0" applyFont="1" applyFill="1" applyAlignment="1">
      <alignment horizontal="center"/>
    </xf>
    <xf numFmtId="173" fontId="37" fillId="4" borderId="0" xfId="1" applyNumberFormat="1" applyFont="1" applyFill="1" applyBorder="1"/>
    <xf numFmtId="0" fontId="38" fillId="4" borderId="0" xfId="0" applyFont="1" applyFill="1" applyAlignment="1">
      <alignment horizontal="center"/>
    </xf>
    <xf numFmtId="0" fontId="2" fillId="10" borderId="23" xfId="0" applyFont="1" applyFill="1" applyBorder="1" applyAlignment="1">
      <alignment horizontal="center"/>
    </xf>
    <xf numFmtId="43" fontId="2" fillId="10" borderId="25" xfId="0" applyNumberFormat="1" applyFont="1" applyFill="1" applyBorder="1"/>
    <xf numFmtId="3" fontId="38" fillId="4" borderId="0" xfId="4" applyNumberFormat="1" applyFont="1" applyFill="1" applyAlignment="1">
      <alignment horizontal="right" vertical="center"/>
    </xf>
    <xf numFmtId="0" fontId="38" fillId="0" borderId="0" xfId="0" applyFont="1" applyAlignment="1">
      <alignment horizontal="center"/>
    </xf>
    <xf numFmtId="0" fontId="6" fillId="0" borderId="0" xfId="0" applyFont="1"/>
    <xf numFmtId="17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1" fillId="0" borderId="0" xfId="0" applyFont="1"/>
    <xf numFmtId="43" fontId="61" fillId="0" borderId="0" xfId="0" applyNumberFormat="1" applyFont="1"/>
    <xf numFmtId="0" fontId="62" fillId="0" borderId="0" xfId="0" applyFont="1" applyAlignment="1">
      <alignment vertical="center" wrapText="1"/>
    </xf>
    <xf numFmtId="0" fontId="61" fillId="0" borderId="0" xfId="0" applyFont="1" applyAlignment="1">
      <alignment vertical="center"/>
    </xf>
    <xf numFmtId="0" fontId="38" fillId="0" borderId="0" xfId="0" applyFont="1"/>
    <xf numFmtId="173" fontId="37" fillId="5" borderId="18" xfId="1" applyNumberFormat="1" applyFont="1" applyFill="1" applyBorder="1"/>
    <xf numFmtId="43" fontId="37" fillId="5" borderId="18" xfId="1" applyFont="1" applyFill="1" applyBorder="1" applyAlignment="1">
      <alignment wrapText="1"/>
    </xf>
    <xf numFmtId="43" fontId="37" fillId="5" borderId="18" xfId="1" applyFont="1" applyFill="1" applyBorder="1" applyAlignment="1">
      <alignment vertical="center" wrapText="1"/>
    </xf>
    <xf numFmtId="173" fontId="37" fillId="5" borderId="18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6" borderId="0" xfId="0" applyFont="1" applyFill="1" applyAlignment="1">
      <alignment horizontal="left" vertical="center" wrapText="1"/>
    </xf>
    <xf numFmtId="3" fontId="2" fillId="6" borderId="0" xfId="0" applyNumberFormat="1" applyFont="1" applyFill="1" applyAlignment="1">
      <alignment horizontal="right" vertical="center"/>
    </xf>
    <xf numFmtId="0" fontId="38" fillId="3" borderId="30" xfId="0" applyFont="1" applyFill="1" applyBorder="1" applyAlignment="1">
      <alignment vertical="center"/>
    </xf>
    <xf numFmtId="3" fontId="38" fillId="4" borderId="30" xfId="0" applyNumberFormat="1" applyFont="1" applyFill="1" applyBorder="1" applyAlignment="1">
      <alignment vertical="center"/>
    </xf>
    <xf numFmtId="43" fontId="63" fillId="4" borderId="0" xfId="1" applyFont="1" applyFill="1" applyAlignment="1">
      <alignment vertical="top"/>
    </xf>
    <xf numFmtId="17" fontId="38" fillId="4" borderId="18" xfId="0" applyNumberFormat="1" applyFont="1" applyFill="1" applyBorder="1" applyAlignment="1">
      <alignment horizontal="center"/>
    </xf>
    <xf numFmtId="167" fontId="38" fillId="4" borderId="18" xfId="1" applyNumberFormat="1" applyFont="1" applyFill="1" applyBorder="1" applyAlignment="1" applyProtection="1">
      <alignment horizontal="center"/>
      <protection locked="0"/>
    </xf>
    <xf numFmtId="167" fontId="38" fillId="11" borderId="18" xfId="1" applyNumberFormat="1" applyFont="1" applyFill="1" applyBorder="1" applyAlignment="1">
      <alignment horizontal="center"/>
    </xf>
    <xf numFmtId="0" fontId="37" fillId="5" borderId="18" xfId="0" applyFont="1" applyFill="1" applyBorder="1" applyAlignment="1">
      <alignment horizontal="center" vertical="center" wrapText="1"/>
    </xf>
    <xf numFmtId="17" fontId="14" fillId="4" borderId="0" xfId="0" applyNumberFormat="1" applyFont="1" applyFill="1"/>
    <xf numFmtId="0" fontId="38" fillId="0" borderId="18" xfId="1" applyNumberFormat="1" applyFont="1" applyBorder="1"/>
    <xf numFmtId="43" fontId="38" fillId="0" borderId="18" xfId="1" applyFont="1" applyBorder="1"/>
    <xf numFmtId="43" fontId="37" fillId="5" borderId="18" xfId="1" applyFont="1" applyFill="1" applyBorder="1" applyAlignment="1">
      <alignment horizontal="center" vertical="center" wrapText="1"/>
    </xf>
    <xf numFmtId="0" fontId="47" fillId="4" borderId="0" xfId="0" applyFont="1" applyFill="1" applyAlignment="1">
      <alignment horizontal="left" vertical="center" readingOrder="1"/>
    </xf>
    <xf numFmtId="165" fontId="37" fillId="5" borderId="21" xfId="0" applyNumberFormat="1" applyFont="1" applyFill="1" applyBorder="1" applyAlignment="1">
      <alignment vertical="center"/>
    </xf>
    <xf numFmtId="10" fontId="60" fillId="5" borderId="21" xfId="3" applyNumberFormat="1" applyFont="1" applyFill="1" applyBorder="1" applyAlignment="1">
      <alignment vertical="center"/>
    </xf>
    <xf numFmtId="10" fontId="60" fillId="5" borderId="26" xfId="3" applyNumberFormat="1" applyFont="1" applyFill="1" applyBorder="1" applyAlignment="1">
      <alignment vertical="center"/>
    </xf>
    <xf numFmtId="49" fontId="0" fillId="0" borderId="0" xfId="0" applyNumberFormat="1"/>
    <xf numFmtId="43" fontId="37" fillId="5" borderId="18" xfId="1" applyFont="1" applyFill="1" applyBorder="1"/>
    <xf numFmtId="173" fontId="37" fillId="5" borderId="30" xfId="1" applyNumberFormat="1" applyFont="1" applyFill="1" applyBorder="1"/>
    <xf numFmtId="17" fontId="2" fillId="10" borderId="18" xfId="0" applyNumberFormat="1" applyFont="1" applyFill="1" applyBorder="1" applyAlignment="1">
      <alignment horizontal="center"/>
    </xf>
    <xf numFmtId="173" fontId="2" fillId="10" borderId="18" xfId="1" applyNumberFormat="1" applyFont="1" applyFill="1" applyBorder="1"/>
    <xf numFmtId="0" fontId="14" fillId="4" borderId="0" xfId="0" applyFont="1" applyFill="1"/>
    <xf numFmtId="4" fontId="0" fillId="0" borderId="0" xfId="0" applyNumberFormat="1"/>
    <xf numFmtId="167" fontId="0" fillId="4" borderId="0" xfId="0" applyNumberFormat="1" applyFill="1"/>
    <xf numFmtId="179" fontId="0" fillId="4" borderId="0" xfId="0" applyNumberFormat="1" applyFill="1"/>
    <xf numFmtId="3" fontId="38" fillId="11" borderId="18" xfId="2" applyNumberFormat="1" applyFont="1" applyFill="1" applyBorder="1" applyAlignment="1">
      <alignment horizontal="right"/>
    </xf>
    <xf numFmtId="165" fontId="2" fillId="10" borderId="18" xfId="2" applyNumberFormat="1" applyFont="1" applyFill="1" applyBorder="1" applyAlignment="1">
      <alignment horizontal="right"/>
    </xf>
    <xf numFmtId="0" fontId="2" fillId="10" borderId="30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 wrapText="1"/>
    </xf>
    <xf numFmtId="2" fontId="14" fillId="4" borderId="0" xfId="0" applyNumberFormat="1" applyFont="1" applyFill="1"/>
    <xf numFmtId="4" fontId="38" fillId="11" borderId="18" xfId="2" applyNumberFormat="1" applyFont="1" applyFill="1" applyBorder="1" applyAlignment="1">
      <alignment horizontal="right" vertical="center"/>
    </xf>
    <xf numFmtId="173" fontId="0" fillId="0" borderId="0" xfId="0" applyNumberFormat="1"/>
    <xf numFmtId="182" fontId="0" fillId="0" borderId="0" xfId="0" applyNumberFormat="1"/>
    <xf numFmtId="173" fontId="5" fillId="3" borderId="0" xfId="3" applyNumberFormat="1" applyFont="1" applyFill="1" applyAlignment="1">
      <alignment horizontal="center" vertical="center"/>
    </xf>
    <xf numFmtId="183" fontId="6" fillId="4" borderId="0" xfId="0" applyNumberFormat="1" applyFont="1" applyFill="1" applyAlignment="1">
      <alignment vertical="top"/>
    </xf>
    <xf numFmtId="184" fontId="0" fillId="0" borderId="0" xfId="0" applyNumberFormat="1"/>
    <xf numFmtId="49" fontId="38" fillId="4" borderId="19" xfId="2" applyNumberFormat="1" applyFont="1" applyFill="1" applyBorder="1" applyAlignment="1">
      <alignment vertical="center"/>
    </xf>
    <xf numFmtId="49" fontId="38" fillId="4" borderId="20" xfId="2" applyNumberFormat="1" applyFont="1" applyFill="1" applyBorder="1" applyAlignment="1">
      <alignment vertical="center"/>
    </xf>
    <xf numFmtId="49" fontId="38" fillId="4" borderId="21" xfId="2" applyNumberFormat="1" applyFont="1" applyFill="1" applyBorder="1" applyAlignment="1">
      <alignment vertical="center"/>
    </xf>
    <xf numFmtId="49" fontId="38" fillId="11" borderId="18" xfId="2" applyNumberFormat="1" applyFont="1" applyFill="1" applyBorder="1" applyAlignment="1">
      <alignment horizontal="left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175" fontId="38" fillId="3" borderId="19" xfId="0" applyNumberFormat="1" applyFont="1" applyFill="1" applyBorder="1" applyAlignment="1">
      <alignment horizontal="left" wrapText="1"/>
    </xf>
    <xf numFmtId="175" fontId="38" fillId="3" borderId="20" xfId="0" applyNumberFormat="1" applyFont="1" applyFill="1" applyBorder="1" applyAlignment="1">
      <alignment horizontal="left" wrapText="1"/>
    </xf>
    <xf numFmtId="175" fontId="38" fillId="3" borderId="21" xfId="0" applyNumberFormat="1" applyFont="1" applyFill="1" applyBorder="1" applyAlignment="1">
      <alignment horizontal="left" wrapText="1"/>
    </xf>
    <xf numFmtId="0" fontId="38" fillId="5" borderId="19" xfId="0" applyFont="1" applyFill="1" applyBorder="1" applyAlignment="1">
      <alignment horizontal="center" vertical="center" wrapText="1"/>
    </xf>
    <xf numFmtId="0" fontId="38" fillId="5" borderId="20" xfId="0" applyFont="1" applyFill="1" applyBorder="1" applyAlignment="1">
      <alignment horizontal="center" vertical="center" wrapText="1"/>
    </xf>
    <xf numFmtId="0" fontId="38" fillId="5" borderId="21" xfId="0" applyFont="1" applyFill="1" applyBorder="1" applyAlignment="1">
      <alignment horizontal="center" vertical="center" wrapText="1"/>
    </xf>
    <xf numFmtId="17" fontId="38" fillId="4" borderId="19" xfId="0" applyNumberFormat="1" applyFont="1" applyFill="1" applyBorder="1" applyAlignment="1">
      <alignment horizontal="left" vertical="center" wrapText="1"/>
    </xf>
    <xf numFmtId="17" fontId="38" fillId="4" borderId="20" xfId="0" applyNumberFormat="1" applyFont="1" applyFill="1" applyBorder="1" applyAlignment="1">
      <alignment horizontal="left" vertical="center" wrapText="1"/>
    </xf>
    <xf numFmtId="17" fontId="38" fillId="4" borderId="21" xfId="0" applyNumberFormat="1" applyFont="1" applyFill="1" applyBorder="1" applyAlignment="1">
      <alignment horizontal="left" vertical="center" wrapText="1"/>
    </xf>
    <xf numFmtId="0" fontId="16" fillId="10" borderId="18" xfId="0" applyFont="1" applyFill="1" applyBorder="1" applyAlignment="1">
      <alignment horizontal="center" vertical="center"/>
    </xf>
    <xf numFmtId="0" fontId="16" fillId="10" borderId="19" xfId="0" applyFont="1" applyFill="1" applyBorder="1" applyAlignment="1"/>
    <xf numFmtId="0" fontId="16" fillId="10" borderId="20" xfId="0" applyFont="1" applyFill="1" applyBorder="1" applyAlignment="1"/>
    <xf numFmtId="0" fontId="46" fillId="0" borderId="19" xfId="0" applyFont="1" applyBorder="1" applyAlignment="1"/>
    <xf numFmtId="0" fontId="46" fillId="0" borderId="20" xfId="0" applyFont="1" applyBorder="1" applyAlignment="1"/>
    <xf numFmtId="0" fontId="16" fillId="10" borderId="19" xfId="0" applyFont="1" applyFill="1" applyBorder="1" applyAlignment="1">
      <alignment horizontal="center"/>
    </xf>
    <xf numFmtId="0" fontId="16" fillId="10" borderId="20" xfId="0" applyFont="1" applyFill="1" applyBorder="1" applyAlignment="1">
      <alignment horizontal="center"/>
    </xf>
    <xf numFmtId="0" fontId="16" fillId="10" borderId="21" xfId="0" applyFont="1" applyFill="1" applyBorder="1" applyAlignment="1">
      <alignment horizontal="center"/>
    </xf>
    <xf numFmtId="0" fontId="0" fillId="10" borderId="19" xfId="0" applyFill="1" applyBorder="1" applyAlignment="1"/>
    <xf numFmtId="0" fontId="0" fillId="10" borderId="20" xfId="0" applyFill="1" applyBorder="1" applyAlignment="1"/>
    <xf numFmtId="17" fontId="38" fillId="0" borderId="19" xfId="0" applyNumberFormat="1" applyFont="1" applyBorder="1" applyAlignment="1">
      <alignment horizontal="left" vertical="center"/>
    </xf>
    <xf numFmtId="17" fontId="38" fillId="0" borderId="20" xfId="0" applyNumberFormat="1" applyFont="1" applyBorder="1" applyAlignment="1">
      <alignment horizontal="left" vertical="center"/>
    </xf>
    <xf numFmtId="17" fontId="38" fillId="0" borderId="21" xfId="0" applyNumberFormat="1" applyFont="1" applyBorder="1" applyAlignment="1">
      <alignment horizontal="left" vertical="center"/>
    </xf>
    <xf numFmtId="17" fontId="38" fillId="0" borderId="19" xfId="0" applyNumberFormat="1" applyFont="1" applyBorder="1" applyAlignment="1">
      <alignment horizontal="left"/>
    </xf>
    <xf numFmtId="17" fontId="38" fillId="0" borderId="20" xfId="0" applyNumberFormat="1" applyFont="1" applyBorder="1" applyAlignment="1">
      <alignment horizontal="left"/>
    </xf>
    <xf numFmtId="17" fontId="38" fillId="0" borderId="21" xfId="0" applyNumberFormat="1" applyFont="1" applyBorder="1" applyAlignment="1">
      <alignment horizontal="left"/>
    </xf>
    <xf numFmtId="17" fontId="2" fillId="10" borderId="19" xfId="0" applyNumberFormat="1" applyFont="1" applyFill="1" applyBorder="1" applyAlignment="1">
      <alignment horizontal="center"/>
    </xf>
    <xf numFmtId="17" fontId="2" fillId="10" borderId="20" xfId="0" applyNumberFormat="1" applyFont="1" applyFill="1" applyBorder="1" applyAlignment="1">
      <alignment horizontal="center"/>
    </xf>
    <xf numFmtId="17" fontId="2" fillId="10" borderId="21" xfId="0" applyNumberFormat="1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horizontal="center" vertical="center"/>
    </xf>
    <xf numFmtId="0" fontId="16" fillId="10" borderId="21" xfId="0" applyFont="1" applyFill="1" applyBorder="1" applyAlignment="1">
      <alignment horizontal="center" vertical="center"/>
    </xf>
    <xf numFmtId="0" fontId="37" fillId="4" borderId="18" xfId="0" applyFont="1" applyFill="1" applyBorder="1" applyAlignment="1">
      <alignment horizontal="center" vertical="center" wrapText="1"/>
    </xf>
    <xf numFmtId="3" fontId="2" fillId="10" borderId="18" xfId="0" applyNumberFormat="1" applyFont="1" applyFill="1" applyBorder="1" applyAlignment="1">
      <alignment horizontal="center" vertical="center"/>
    </xf>
    <xf numFmtId="0" fontId="37" fillId="4" borderId="18" xfId="0" applyFont="1" applyFill="1" applyBorder="1" applyAlignment="1">
      <alignment horizontal="center" vertical="center"/>
    </xf>
    <xf numFmtId="3" fontId="38" fillId="5" borderId="18" xfId="2" applyNumberFormat="1" applyFont="1" applyFill="1" applyBorder="1" applyAlignment="1">
      <alignment horizontal="center"/>
    </xf>
    <xf numFmtId="3" fontId="38" fillId="0" borderId="18" xfId="2" applyNumberFormat="1" applyFont="1" applyBorder="1" applyAlignment="1">
      <alignment horizontal="center"/>
    </xf>
    <xf numFmtId="0" fontId="2" fillId="13" borderId="19" xfId="0" applyFont="1" applyFill="1" applyBorder="1" applyAlignment="1">
      <alignment horizontal="center" vertical="center"/>
    </xf>
    <xf numFmtId="0" fontId="2" fillId="13" borderId="21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37" fillId="5" borderId="18" xfId="4" applyFont="1" applyFill="1" applyBorder="1" applyAlignment="1">
      <alignment horizontal="center" vertical="center" wrapText="1"/>
    </xf>
    <xf numFmtId="0" fontId="37" fillId="5" borderId="1" xfId="4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10" borderId="18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3" fontId="2" fillId="10" borderId="18" xfId="0" applyNumberFormat="1" applyFont="1" applyFill="1" applyBorder="1" applyAlignment="1">
      <alignment horizontal="center" vertical="center" wrapText="1"/>
    </xf>
    <xf numFmtId="3" fontId="38" fillId="4" borderId="19" xfId="4" applyNumberFormat="1" applyFont="1" applyFill="1" applyBorder="1" applyAlignment="1">
      <alignment horizontal="center" vertical="center"/>
    </xf>
    <xf numFmtId="3" fontId="38" fillId="4" borderId="21" xfId="4" applyNumberFormat="1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left" wrapText="1"/>
    </xf>
    <xf numFmtId="0" fontId="38" fillId="4" borderId="20" xfId="0" applyFont="1" applyFill="1" applyBorder="1" applyAlignment="1">
      <alignment horizontal="left" wrapText="1"/>
    </xf>
    <xf numFmtId="0" fontId="16" fillId="10" borderId="24" xfId="0" applyFont="1" applyFill="1" applyBorder="1" applyAlignment="1">
      <alignment horizontal="center"/>
    </xf>
    <xf numFmtId="10" fontId="38" fillId="4" borderId="19" xfId="3" applyNumberFormat="1" applyFont="1" applyFill="1" applyBorder="1" applyAlignment="1">
      <alignment horizontal="center" vertical="center"/>
    </xf>
    <xf numFmtId="10" fontId="38" fillId="4" borderId="21" xfId="3" applyNumberFormat="1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left"/>
    </xf>
    <xf numFmtId="0" fontId="38" fillId="4" borderId="20" xfId="0" applyFont="1" applyFill="1" applyBorder="1" applyAlignment="1">
      <alignment horizontal="left"/>
    </xf>
    <xf numFmtId="0" fontId="2" fillId="10" borderId="30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37" fillId="5" borderId="18" xfId="0" applyFont="1" applyFill="1" applyBorder="1" applyAlignment="1">
      <alignment horizontal="center"/>
    </xf>
    <xf numFmtId="0" fontId="38" fillId="0" borderId="19" xfId="0" applyFont="1" applyBorder="1" applyAlignment="1">
      <alignment horizontal="left"/>
    </xf>
    <xf numFmtId="0" fontId="38" fillId="0" borderId="20" xfId="0" applyFont="1" applyBorder="1" applyAlignment="1">
      <alignment horizontal="left"/>
    </xf>
    <xf numFmtId="0" fontId="37" fillId="5" borderId="18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/>
    </xf>
    <xf numFmtId="0" fontId="2" fillId="10" borderId="26" xfId="0" applyFont="1" applyFill="1" applyBorder="1" applyAlignment="1">
      <alignment horizontal="center"/>
    </xf>
    <xf numFmtId="0" fontId="7" fillId="10" borderId="0" xfId="9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38" fillId="5" borderId="19" xfId="0" applyFont="1" applyFill="1" applyBorder="1" applyAlignment="1">
      <alignment horizontal="center" vertical="center"/>
    </xf>
    <xf numFmtId="0" fontId="38" fillId="5" borderId="20" xfId="0" applyFont="1" applyFill="1" applyBorder="1" applyAlignment="1">
      <alignment horizontal="center" vertical="center"/>
    </xf>
    <xf numFmtId="0" fontId="37" fillId="5" borderId="19" xfId="0" applyFont="1" applyFill="1" applyBorder="1" applyAlignment="1">
      <alignment horizontal="center" vertical="center"/>
    </xf>
    <xf numFmtId="0" fontId="37" fillId="5" borderId="20" xfId="0" applyFont="1" applyFill="1" applyBorder="1" applyAlignment="1">
      <alignment horizontal="center" vertical="center"/>
    </xf>
    <xf numFmtId="164" fontId="51" fillId="11" borderId="18" xfId="0" applyNumberFormat="1" applyFont="1" applyFill="1" applyBorder="1" applyAlignment="1">
      <alignment horizontal="center" vertical="center"/>
    </xf>
    <xf numFmtId="0" fontId="59" fillId="4" borderId="0" xfId="0" applyFont="1" applyFill="1" applyAlignment="1">
      <alignment horizontal="center" vertical="center" wrapText="1"/>
    </xf>
    <xf numFmtId="0" fontId="54" fillId="10" borderId="27" xfId="0" applyFont="1" applyFill="1" applyBorder="1" applyAlignment="1">
      <alignment horizontal="center" vertical="center" wrapText="1"/>
    </xf>
    <xf numFmtId="0" fontId="54" fillId="10" borderId="28" xfId="0" applyFont="1" applyFill="1" applyBorder="1" applyAlignment="1">
      <alignment horizontal="center" vertical="center" wrapText="1"/>
    </xf>
    <xf numFmtId="0" fontId="54" fillId="10" borderId="29" xfId="0" applyFont="1" applyFill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center" wrapText="1"/>
    </xf>
    <xf numFmtId="164" fontId="51" fillId="11" borderId="18" xfId="0" applyNumberFormat="1" applyFont="1" applyFill="1" applyBorder="1" applyAlignment="1">
      <alignment horizontal="center" vertical="center" wrapText="1"/>
    </xf>
    <xf numFmtId="0" fontId="31" fillId="2" borderId="7" xfId="13" applyFont="1" applyFill="1" applyBorder="1" applyAlignment="1">
      <alignment horizontal="center" vertical="center"/>
    </xf>
  </cellXfs>
  <cellStyles count="19">
    <cellStyle name="Comma 2 2" xfId="11" xr:uid="{00000000-0005-0000-0000-000000000000}"/>
    <cellStyle name="Hiperlink" xfId="18" builtinId="8"/>
    <cellStyle name="Moeda" xfId="2" builtinId="4"/>
    <cellStyle name="Moeda 2" xfId="8" xr:uid="{00000000-0005-0000-0000-000003000000}"/>
    <cellStyle name="Moeda 3" xfId="12" xr:uid="{00000000-0005-0000-0000-000004000000}"/>
    <cellStyle name="Normal" xfId="0" builtinId="0"/>
    <cellStyle name="Normal - Style1 2 2" xfId="10" xr:uid="{00000000-0005-0000-0000-000006000000}"/>
    <cellStyle name="Normal 12" xfId="13" xr:uid="{00000000-0005-0000-0000-000007000000}"/>
    <cellStyle name="Normal 2" xfId="9" xr:uid="{00000000-0005-0000-0000-000008000000}"/>
    <cellStyle name="Normal 2 2" xfId="14" xr:uid="{00000000-0005-0000-0000-000009000000}"/>
    <cellStyle name="Normal 4" xfId="4" xr:uid="{00000000-0005-0000-0000-00000A000000}"/>
    <cellStyle name="Normal 4 2" xfId="17" xr:uid="{33CCF34B-6E45-461F-9C81-66D8EF568FB1}"/>
    <cellStyle name="Normal 5" xfId="5" xr:uid="{00000000-0005-0000-0000-00000B000000}"/>
    <cellStyle name="Porcentagem" xfId="3" builtinId="5"/>
    <cellStyle name="Porcentagem 2" xfId="7" xr:uid="{00000000-0005-0000-0000-00000D000000}"/>
    <cellStyle name="Separador de milhares 3" xfId="6" xr:uid="{00000000-0005-0000-0000-00000E000000}"/>
    <cellStyle name="Separador de milhares 3 2" xfId="16" xr:uid="{00000000-0005-0000-0000-00000F000000}"/>
    <cellStyle name="Vírgula" xfId="1" builtinId="3"/>
    <cellStyle name="Vírgula 2" xfId="15" xr:uid="{00000000-0005-0000-0000-00001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>
                <a:solidFill>
                  <a:schemeClr val="accent1">
                    <a:lumMod val="75000"/>
                  </a:schemeClr>
                </a:solidFill>
              </a:rPr>
              <a:t>Variação dos indicadores inflacionários  (janeiro a dezembro de 2021 - em %)</a:t>
            </a:r>
          </a:p>
        </c:rich>
      </c:tx>
      <c:layout>
        <c:manualLayout>
          <c:xMode val="edge"/>
          <c:yMode val="edge"/>
          <c:x val="0.24226564047230439"/>
          <c:y val="1.249024199843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697083468241011"/>
          <c:y val="0.15538540016880523"/>
          <c:w val="0.7432329620214797"/>
          <c:h val="0.70342915732741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Índices_2021!$B$8</c:f>
              <c:strCache>
                <c:ptCount val="1"/>
                <c:pt idx="0">
                  <c:v>Índices de inflação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(Índices_2021!$E$9:$G$9,Índices_2021!$B$49)</c:f>
              <c:strCache>
                <c:ptCount val="4"/>
                <c:pt idx="0">
                  <c:v>INPC</c:v>
                </c:pt>
                <c:pt idx="1">
                  <c:v>IPCA</c:v>
                </c:pt>
                <c:pt idx="2">
                  <c:v>IGP-M</c:v>
                </c:pt>
                <c:pt idx="3">
                  <c:v>Δenergia</c:v>
                </c:pt>
              </c:strCache>
            </c:strRef>
          </c:cat>
          <c:val>
            <c:numRef>
              <c:f>(Índices_2021!$E$23:$G$23,Índices_2021!$H$49)</c:f>
              <c:numCache>
                <c:formatCode>0.00%</c:formatCode>
                <c:ptCount val="4"/>
                <c:pt idx="0">
                  <c:v>0.1016024821158541</c:v>
                </c:pt>
                <c:pt idx="1">
                  <c:v>0.10060982737443336</c:v>
                </c:pt>
                <c:pt idx="2">
                  <c:v>0.17783212339450416</c:v>
                </c:pt>
                <c:pt idx="3">
                  <c:v>0.2164078528669735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6-4F20-9BB1-4A3E33310B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51599887"/>
        <c:axId val="1242784383"/>
      </c:barChart>
      <c:catAx>
        <c:axId val="1251599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2784383"/>
        <c:crossesAt val="0"/>
        <c:auto val="1"/>
        <c:lblAlgn val="ctr"/>
        <c:lblOffset val="100"/>
        <c:noMultiLvlLbl val="0"/>
      </c:catAx>
      <c:valAx>
        <c:axId val="1242784383"/>
        <c:scaling>
          <c:orientation val="minMax"/>
          <c:max val="0.22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599887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354769102886"/>
          <c:y val="0.96126965437731493"/>
          <c:w val="0.2005321081068771"/>
          <c:h val="3.752569480216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 sz="1400" i="1"/>
              <a:t>Quadro Resumo - Bônus-Desconto 2021 por Categoria</a:t>
            </a:r>
          </a:p>
        </c:rich>
      </c:tx>
      <c:layout>
        <c:manualLayout>
          <c:xMode val="edge"/>
          <c:yMode val="edge"/>
          <c:x val="0.311267476915704"/>
          <c:y val="1.0008751849769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034241211651819"/>
          <c:y val="0.2110560776677109"/>
          <c:w val="0.56629009078783188"/>
          <c:h val="0.60507747015494029"/>
        </c:manualLayout>
      </c:layout>
      <c:pie3DChart>
        <c:varyColors val="1"/>
        <c:ser>
          <c:idx val="0"/>
          <c:order val="0"/>
          <c:tx>
            <c:strRef>
              <c:f>'Bônus-Desconto'!$H$9:$N$9</c:f>
              <c:strCache>
                <c:ptCount val="7"/>
                <c:pt idx="0">
                  <c:v>Quadro Resumo - Bônus-Desconto</c:v>
                </c:pt>
              </c:strCache>
            </c:strRef>
          </c:tx>
          <c:explosion val="16"/>
          <c:dPt>
            <c:idx val="0"/>
            <c:bubble3D val="0"/>
            <c:explosion val="10"/>
            <c:spPr>
              <a:solidFill>
                <a:schemeClr val="tx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AC2-4256-806E-C998CCE815CE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AC2-4256-806E-C998CCE815CE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6AC2-4256-806E-C998CCE815CE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AC2-4256-806E-C998CCE815CE}"/>
              </c:ext>
            </c:extLst>
          </c:dPt>
          <c:dLbls>
            <c:dLbl>
              <c:idx val="0"/>
              <c:layout>
                <c:manualLayout>
                  <c:x val="-2.8308563340410475E-3"/>
                  <c:y val="1.532567049808425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C2-4256-806E-C998CCE815CE}"/>
                </c:ext>
              </c:extLst>
            </c:dLbl>
            <c:dLbl>
              <c:idx val="1"/>
              <c:layout>
                <c:manualLayout>
                  <c:x val="2.8308563340410475E-3"/>
                  <c:y val="-4.98084291187739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C2-4256-806E-C998CCE815CE}"/>
                </c:ext>
              </c:extLst>
            </c:dLbl>
            <c:dLbl>
              <c:idx val="2"/>
              <c:layout>
                <c:manualLayout>
                  <c:x val="5.3503879278522848E-2"/>
                  <c:y val="1.37188496599214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C2-4256-806E-C998CCE815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'Bônus-Desconto'!$K$10:$N$10</c:f>
              <c:strCache>
                <c:ptCount val="4"/>
                <c:pt idx="0">
                  <c:v>Residencial Normal</c:v>
                </c:pt>
                <c:pt idx="1">
                  <c:v>Residencial Popular</c:v>
                </c:pt>
                <c:pt idx="2">
                  <c:v>Comercial</c:v>
                </c:pt>
                <c:pt idx="3">
                  <c:v>Industrial</c:v>
                </c:pt>
              </c:strCache>
            </c:strRef>
          </c:cat>
          <c:val>
            <c:numRef>
              <c:f>'Bônus-Desconto'!$K$15:$N$15</c:f>
              <c:numCache>
                <c:formatCode>_(* #,##0.00_);_(* \(#,##0.00\);_(* "-"??_);_(@_)</c:formatCode>
                <c:ptCount val="4"/>
                <c:pt idx="0">
                  <c:v>9385328.8159999996</c:v>
                </c:pt>
                <c:pt idx="1">
                  <c:v>91436.83</c:v>
                </c:pt>
                <c:pt idx="2">
                  <c:v>2022320.544</c:v>
                </c:pt>
                <c:pt idx="3">
                  <c:v>73369.704000000012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2-4256-806E-C998CCE81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539957982959141"/>
          <c:y val="0.92768153980752388"/>
          <c:w val="0.49791532496998114"/>
          <c:h val="6.0484294301921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1" i="0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Proporção dos custos da Parcela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1" i="0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881638195583513E-2"/>
          <c:y val="0.22780392156862744"/>
          <c:w val="0.83313613354700333"/>
          <c:h val="0.623666203489269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92B-41AA-B5CE-903D53418F23}"/>
              </c:ext>
            </c:extLst>
          </c:dPt>
          <c:dPt>
            <c:idx val="1"/>
            <c:bubble3D val="0"/>
            <c:explosion val="3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92B-41AA-B5CE-903D53418F23}"/>
              </c:ext>
            </c:extLst>
          </c:dPt>
          <c:dPt>
            <c:idx val="2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92B-41AA-B5CE-903D53418F23}"/>
              </c:ext>
            </c:extLst>
          </c:dPt>
          <c:dPt>
            <c:idx val="3"/>
            <c:bubble3D val="0"/>
            <c:explosion val="3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92B-41AA-B5CE-903D53418F23}"/>
              </c:ext>
            </c:extLst>
          </c:dPt>
          <c:dPt>
            <c:idx val="4"/>
            <c:bubble3D val="0"/>
            <c:explosion val="6"/>
            <c:spPr>
              <a:gradFill rotWithShape="1">
                <a:gsLst>
                  <a:gs pos="0">
                    <a:schemeClr val="accent1">
                      <a:tint val="54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54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54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92B-41AA-B5CE-903D53418F23}"/>
              </c:ext>
            </c:extLst>
          </c:dPt>
          <c:dLbls>
            <c:dLbl>
              <c:idx val="0"/>
              <c:layout>
                <c:manualLayout>
                  <c:x val="3.2478909640099321E-2"/>
                  <c:y val="3.65156708352632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2B-41AA-B5CE-903D53418F23}"/>
                </c:ext>
              </c:extLst>
            </c:dLbl>
            <c:dLbl>
              <c:idx val="1"/>
              <c:layout>
                <c:manualLayout>
                  <c:x val="1.6212967382712717E-2"/>
                  <c:y val="-1.9256445885440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2B-41AA-B5CE-903D53418F23}"/>
                </c:ext>
              </c:extLst>
            </c:dLbl>
            <c:dLbl>
              <c:idx val="2"/>
              <c:layout>
                <c:manualLayout>
                  <c:x val="-2.0580948473897361E-2"/>
                  <c:y val="1.7137563686892081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2B-41AA-B5CE-903D53418F23}"/>
                </c:ext>
              </c:extLst>
            </c:dLbl>
            <c:dLbl>
              <c:idx val="3"/>
              <c:layout>
                <c:manualLayout>
                  <c:x val="4.7452348820679726E-3"/>
                  <c:y val="1.8485718696927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2B-41AA-B5CE-903D53418F23}"/>
                </c:ext>
              </c:extLst>
            </c:dLbl>
            <c:dLbl>
              <c:idx val="4"/>
              <c:layout>
                <c:manualLayout>
                  <c:x val="-3.5300415761912216E-2"/>
                  <c:y val="2.4047861664350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2B-41AA-B5CE-903D53418F2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'VPB 2022 '!$B$11:$B$15</c:f>
              <c:strCache>
                <c:ptCount val="5"/>
                <c:pt idx="0">
                  <c:v>Pessoal</c:v>
                </c:pt>
                <c:pt idx="1">
                  <c:v>Energia Elétrica</c:v>
                </c:pt>
                <c:pt idx="2">
                  <c:v>Material </c:v>
                </c:pt>
                <c:pt idx="3">
                  <c:v>Remuneração dos Investimentos</c:v>
                </c:pt>
                <c:pt idx="4">
                  <c:v>Outros Custos</c:v>
                </c:pt>
              </c:strCache>
            </c:strRef>
          </c:cat>
          <c:val>
            <c:numRef>
              <c:f>'VPB 2022 '!$D$11:$D$15</c:f>
              <c:numCache>
                <c:formatCode>#,##0</c:formatCode>
                <c:ptCount val="5"/>
                <c:pt idx="0">
                  <c:v>515403108.97827083</c:v>
                </c:pt>
                <c:pt idx="1">
                  <c:v>135923148.23295999</c:v>
                </c:pt>
                <c:pt idx="2">
                  <c:v>73053331.884937555</c:v>
                </c:pt>
                <c:pt idx="3">
                  <c:v>421844752.47166598</c:v>
                </c:pt>
                <c:pt idx="4">
                  <c:v>281380973.02853155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2B-41AA-B5CE-903D53418F2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Variação dos indicadores inflacionários (jan a dez de 2021 - em %)</a:t>
            </a:r>
          </a:p>
        </c:rich>
      </c:tx>
      <c:layout>
        <c:manualLayout>
          <c:xMode val="edge"/>
          <c:yMode val="edge"/>
          <c:x val="0.16017130261286877"/>
          <c:y val="2.745098039215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1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828212762699339"/>
          <c:y val="0.16268346456692914"/>
          <c:w val="0.82656301930856457"/>
          <c:h val="0.62204600895476303"/>
        </c:manualLayout>
      </c:layout>
      <c:barChart>
        <c:barDir val="col"/>
        <c:grouping val="clustered"/>
        <c:varyColors val="0"/>
        <c:ser>
          <c:idx val="0"/>
          <c:order val="0"/>
          <c:tx>
            <c:v>Proporção de custo</c:v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2022 '!$C$11,'VPB 2022 '!$C$12,'VPB 2022 '!$C$18,'VPB 2022 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('VPB 2022 '!$E$11,'VPB 2022 '!$E$12,'VPB 2022 '!$E$18,'VPB 2022 '!$E$15)</c:f>
              <c:numCache>
                <c:formatCode>0.00%</c:formatCode>
                <c:ptCount val="4"/>
                <c:pt idx="0">
                  <c:v>0.3610263310934741</c:v>
                </c:pt>
                <c:pt idx="1">
                  <c:v>9.5210592762040969E-2</c:v>
                </c:pt>
                <c:pt idx="2">
                  <c:v>0.34666310029570646</c:v>
                </c:pt>
                <c:pt idx="3">
                  <c:v>0.1970999758487785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2-4741-BF09-0FF3CDCE166C}"/>
            </c:ext>
          </c:extLst>
        </c:ser>
        <c:ser>
          <c:idx val="1"/>
          <c:order val="1"/>
          <c:tx>
            <c:v>Índices econômicos</c:v>
          </c:tx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2022 '!$C$11,'VPB 2022 '!$C$12,'VPB 2022 '!$C$18,'VPB 2022 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(Índices_2021!$E$23,Índices_2021!$H$49,Índices_2021!$G$23,Índices_2021!$F$23)</c:f>
              <c:numCache>
                <c:formatCode>0.00%</c:formatCode>
                <c:ptCount val="4"/>
                <c:pt idx="0">
                  <c:v>0.1016024821158541</c:v>
                </c:pt>
                <c:pt idx="1">
                  <c:v>0.2164078528669735</c:v>
                </c:pt>
                <c:pt idx="2">
                  <c:v>0.17783212339450416</c:v>
                </c:pt>
                <c:pt idx="3">
                  <c:v>0.10060982737443336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2-4741-BF09-0FF3CDCE16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92643183"/>
        <c:axId val="1772966895"/>
      </c:barChart>
      <c:catAx>
        <c:axId val="189264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2966895"/>
        <c:crosses val="autoZero"/>
        <c:auto val="1"/>
        <c:lblAlgn val="ctr"/>
        <c:lblOffset val="100"/>
        <c:noMultiLvlLbl val="0"/>
      </c:catAx>
      <c:valAx>
        <c:axId val="177296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2643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F - 2022'!A1"/><Relationship Id="rId13" Type="http://schemas.openxmlformats.org/officeDocument/2006/relationships/hyperlink" Target="#Volume_2021!A1"/><Relationship Id="rId3" Type="http://schemas.openxmlformats.org/officeDocument/2006/relationships/hyperlink" Target="#Par&#226;metros!A1"/><Relationship Id="rId7" Type="http://schemas.openxmlformats.org/officeDocument/2006/relationships/hyperlink" Target="#'RTA 2022'!A1"/><Relationship Id="rId12" Type="http://schemas.openxmlformats.org/officeDocument/2006/relationships/hyperlink" Target="#'VPA 2022'!A1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hyperlink" Target="#&#205;ndices_2021!A1"/><Relationship Id="rId11" Type="http://schemas.openxmlformats.org/officeDocument/2006/relationships/hyperlink" Target="#'VPB 2022 '!A1"/><Relationship Id="rId5" Type="http://schemas.openxmlformats.org/officeDocument/2006/relationships/image" Target="../media/image4.svg"/><Relationship Id="rId10" Type="http://schemas.openxmlformats.org/officeDocument/2006/relationships/hyperlink" Target="#'Tarifa de Conting&#234;ncia'!A1"/><Relationship Id="rId4" Type="http://schemas.openxmlformats.org/officeDocument/2006/relationships/image" Target="../media/image3.png"/><Relationship Id="rId9" Type="http://schemas.openxmlformats.org/officeDocument/2006/relationships/hyperlink" Target="#'B&#244;nus-Desconto'!A1"/><Relationship Id="rId14" Type="http://schemas.openxmlformats.org/officeDocument/2006/relationships/hyperlink" Target="#'Tarifas 2022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F&#243;rmulas!A1"/><Relationship Id="rId13" Type="http://schemas.openxmlformats.org/officeDocument/2006/relationships/hyperlink" Target="#'Tarifa de Conting&#234;ncia'!A1"/><Relationship Id="rId3" Type="http://schemas.openxmlformats.org/officeDocument/2006/relationships/image" Target="../media/image9.png"/><Relationship Id="rId7" Type="http://schemas.openxmlformats.org/officeDocument/2006/relationships/image" Target="../media/image19.svg"/><Relationship Id="rId12" Type="http://schemas.openxmlformats.org/officeDocument/2006/relationships/hyperlink" Target="#'B&#244;nus-Desconto'!A1"/><Relationship Id="rId2" Type="http://schemas.openxmlformats.org/officeDocument/2006/relationships/chart" Target="../charts/chart4.xml"/><Relationship Id="rId16" Type="http://schemas.openxmlformats.org/officeDocument/2006/relationships/hyperlink" Target="#'Tarifas 2022'!A1"/><Relationship Id="rId1" Type="http://schemas.openxmlformats.org/officeDocument/2006/relationships/chart" Target="../charts/chart3.xml"/><Relationship Id="rId6" Type="http://schemas.openxmlformats.org/officeDocument/2006/relationships/image" Target="../media/image11.png"/><Relationship Id="rId11" Type="http://schemas.openxmlformats.org/officeDocument/2006/relationships/hyperlink" Target="#'CF - 2022'!A1"/><Relationship Id="rId5" Type="http://schemas.openxmlformats.org/officeDocument/2006/relationships/hyperlink" Target="#'VPB 2022 '!A1"/><Relationship Id="rId15" Type="http://schemas.openxmlformats.org/officeDocument/2006/relationships/hyperlink" Target="#Volume_2021!A1"/><Relationship Id="rId10" Type="http://schemas.openxmlformats.org/officeDocument/2006/relationships/hyperlink" Target="#'RTA 2022'!A1"/><Relationship Id="rId4" Type="http://schemas.openxmlformats.org/officeDocument/2006/relationships/image" Target="../media/image10.svg"/><Relationship Id="rId9" Type="http://schemas.openxmlformats.org/officeDocument/2006/relationships/hyperlink" Target="#&#205;ndices_2021!A1"/><Relationship Id="rId14" Type="http://schemas.openxmlformats.org/officeDocument/2006/relationships/hyperlink" Target="#'VPA 2022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'RTA 2022'!A1"/><Relationship Id="rId13" Type="http://schemas.openxmlformats.org/officeDocument/2006/relationships/hyperlink" Target="#Volume_2021!A1"/><Relationship Id="rId3" Type="http://schemas.openxmlformats.org/officeDocument/2006/relationships/hyperlink" Target="#'CF - Outros 2022'!A1"/><Relationship Id="rId7" Type="http://schemas.openxmlformats.org/officeDocument/2006/relationships/hyperlink" Target="#&#205;ndices_2021!A1"/><Relationship Id="rId12" Type="http://schemas.openxmlformats.org/officeDocument/2006/relationships/hyperlink" Target="#'VPA 2022'!A1"/><Relationship Id="rId2" Type="http://schemas.openxmlformats.org/officeDocument/2006/relationships/image" Target="../media/image18.svg"/><Relationship Id="rId1" Type="http://schemas.openxmlformats.org/officeDocument/2006/relationships/image" Target="../media/image17.png"/><Relationship Id="rId6" Type="http://schemas.openxmlformats.org/officeDocument/2006/relationships/hyperlink" Target="#F&#243;rmulas!A1"/><Relationship Id="rId11" Type="http://schemas.openxmlformats.org/officeDocument/2006/relationships/hyperlink" Target="#'VPB 2022 '!A1"/><Relationship Id="rId5" Type="http://schemas.openxmlformats.org/officeDocument/2006/relationships/image" Target="../media/image22.svg"/><Relationship Id="rId10" Type="http://schemas.openxmlformats.org/officeDocument/2006/relationships/hyperlink" Target="#'Tarifa de Conting&#234;ncia'!A1"/><Relationship Id="rId4" Type="http://schemas.openxmlformats.org/officeDocument/2006/relationships/image" Target="../media/image21.png"/><Relationship Id="rId9" Type="http://schemas.openxmlformats.org/officeDocument/2006/relationships/hyperlink" Target="#'B&#244;nus-Desconto'!A1"/><Relationship Id="rId14" Type="http://schemas.openxmlformats.org/officeDocument/2006/relationships/hyperlink" Target="#'Tarifas 2022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'RTA 2022'!A1"/><Relationship Id="rId13" Type="http://schemas.openxmlformats.org/officeDocument/2006/relationships/hyperlink" Target="#Volume_2021!A1"/><Relationship Id="rId3" Type="http://schemas.openxmlformats.org/officeDocument/2006/relationships/image" Target="../media/image12.svg"/><Relationship Id="rId7" Type="http://schemas.openxmlformats.org/officeDocument/2006/relationships/hyperlink" Target="#&#205;ndices_2021!A1"/><Relationship Id="rId12" Type="http://schemas.openxmlformats.org/officeDocument/2006/relationships/hyperlink" Target="#'VPA 2022'!A1"/><Relationship Id="rId2" Type="http://schemas.openxmlformats.org/officeDocument/2006/relationships/image" Target="../media/image11.png"/><Relationship Id="rId1" Type="http://schemas.openxmlformats.org/officeDocument/2006/relationships/hyperlink" Target="#'CF - 2022'!A1"/><Relationship Id="rId6" Type="http://schemas.openxmlformats.org/officeDocument/2006/relationships/hyperlink" Target="#F&#243;rmulas!A1"/><Relationship Id="rId11" Type="http://schemas.openxmlformats.org/officeDocument/2006/relationships/hyperlink" Target="#'VPB 2022 '!A1"/><Relationship Id="rId5" Type="http://schemas.openxmlformats.org/officeDocument/2006/relationships/image" Target="../media/image24.svg"/><Relationship Id="rId10" Type="http://schemas.openxmlformats.org/officeDocument/2006/relationships/hyperlink" Target="#'Tarifa de Conting&#234;ncia'!A1"/><Relationship Id="rId4" Type="http://schemas.openxmlformats.org/officeDocument/2006/relationships/image" Target="../media/image23.png"/><Relationship Id="rId9" Type="http://schemas.openxmlformats.org/officeDocument/2006/relationships/hyperlink" Target="#'B&#244;nus-Desconto'!A1"/><Relationship Id="rId14" Type="http://schemas.openxmlformats.org/officeDocument/2006/relationships/hyperlink" Target="#'Tarifas 2022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'VPA 2022'!A1"/><Relationship Id="rId3" Type="http://schemas.openxmlformats.org/officeDocument/2006/relationships/hyperlink" Target="#&#205;ndices_2021!A1"/><Relationship Id="rId7" Type="http://schemas.openxmlformats.org/officeDocument/2006/relationships/hyperlink" Target="#'VPB 2022 '!A1"/><Relationship Id="rId2" Type="http://schemas.openxmlformats.org/officeDocument/2006/relationships/hyperlink" Target="#F&#243;rmulas!A1"/><Relationship Id="rId1" Type="http://schemas.openxmlformats.org/officeDocument/2006/relationships/image" Target="../media/image25.jpeg"/><Relationship Id="rId6" Type="http://schemas.openxmlformats.org/officeDocument/2006/relationships/hyperlink" Target="#'B&#244;nus-Desconto'!A1"/><Relationship Id="rId5" Type="http://schemas.openxmlformats.org/officeDocument/2006/relationships/hyperlink" Target="#'CF - 2022'!A1"/><Relationship Id="rId10" Type="http://schemas.openxmlformats.org/officeDocument/2006/relationships/hyperlink" Target="#'Tarifas 2022'!A1"/><Relationship Id="rId4" Type="http://schemas.openxmlformats.org/officeDocument/2006/relationships/hyperlink" Target="#'RTA 2022'!A1"/><Relationship Id="rId9" Type="http://schemas.openxmlformats.org/officeDocument/2006/relationships/hyperlink" Target="#Volume_2021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Volume_2021!A1"/><Relationship Id="rId3" Type="http://schemas.openxmlformats.org/officeDocument/2006/relationships/hyperlink" Target="#'CF - 2022'!A1"/><Relationship Id="rId7" Type="http://schemas.openxmlformats.org/officeDocument/2006/relationships/hyperlink" Target="#'VPA 2022'!A1"/><Relationship Id="rId2" Type="http://schemas.openxmlformats.org/officeDocument/2006/relationships/hyperlink" Target="#&#205;ndices_2021!A1"/><Relationship Id="rId1" Type="http://schemas.openxmlformats.org/officeDocument/2006/relationships/hyperlink" Target="#F&#243;rmulas!A1"/><Relationship Id="rId6" Type="http://schemas.openxmlformats.org/officeDocument/2006/relationships/hyperlink" Target="#'VPB 2022 '!A1"/><Relationship Id="rId5" Type="http://schemas.openxmlformats.org/officeDocument/2006/relationships/hyperlink" Target="#'Tarifa de Conting&#234;ncia'!A1"/><Relationship Id="rId10" Type="http://schemas.openxmlformats.org/officeDocument/2006/relationships/image" Target="../media/image25.jpeg"/><Relationship Id="rId4" Type="http://schemas.openxmlformats.org/officeDocument/2006/relationships/hyperlink" Target="#'B&#244;nus-Desconto'!A1"/><Relationship Id="rId9" Type="http://schemas.openxmlformats.org/officeDocument/2006/relationships/hyperlink" Target="#'Tarifas 2022'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'VPA 2022'!A1"/><Relationship Id="rId3" Type="http://schemas.openxmlformats.org/officeDocument/2006/relationships/hyperlink" Target="#'RTA 2022'!A1"/><Relationship Id="rId7" Type="http://schemas.openxmlformats.org/officeDocument/2006/relationships/hyperlink" Target="#'VPB 2022 '!A1"/><Relationship Id="rId2" Type="http://schemas.openxmlformats.org/officeDocument/2006/relationships/hyperlink" Target="#&#205;ndices_2021!A1"/><Relationship Id="rId1" Type="http://schemas.openxmlformats.org/officeDocument/2006/relationships/hyperlink" Target="#F&#243;rmulas!A1"/><Relationship Id="rId6" Type="http://schemas.openxmlformats.org/officeDocument/2006/relationships/hyperlink" Target="#'Tarifa de Conting&#234;ncia'!A1"/><Relationship Id="rId5" Type="http://schemas.openxmlformats.org/officeDocument/2006/relationships/hyperlink" Target="#'B&#244;nus-Desconto'!A1"/><Relationship Id="rId10" Type="http://schemas.openxmlformats.org/officeDocument/2006/relationships/image" Target="../media/image25.jpeg"/><Relationship Id="rId4" Type="http://schemas.openxmlformats.org/officeDocument/2006/relationships/hyperlink" Target="#'CF - 2022'!A1"/><Relationship Id="rId9" Type="http://schemas.openxmlformats.org/officeDocument/2006/relationships/hyperlink" Target="#Volume_2021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CF - 2022'!A1"/><Relationship Id="rId13" Type="http://schemas.openxmlformats.org/officeDocument/2006/relationships/hyperlink" Target="#Volume_2021!A1"/><Relationship Id="rId3" Type="http://schemas.openxmlformats.org/officeDocument/2006/relationships/image" Target="../media/image6.svg"/><Relationship Id="rId7" Type="http://schemas.openxmlformats.org/officeDocument/2006/relationships/hyperlink" Target="#'RTA 2022'!A1"/><Relationship Id="rId12" Type="http://schemas.openxmlformats.org/officeDocument/2006/relationships/hyperlink" Target="#'VPA 2022'!A1"/><Relationship Id="rId2" Type="http://schemas.openxmlformats.org/officeDocument/2006/relationships/image" Target="../media/image5.png"/><Relationship Id="rId1" Type="http://schemas.openxmlformats.org/officeDocument/2006/relationships/hyperlink" Target="#F&#243;rmulas!A1"/><Relationship Id="rId6" Type="http://schemas.openxmlformats.org/officeDocument/2006/relationships/hyperlink" Target="#&#205;ndices_2021!A1"/><Relationship Id="rId11" Type="http://schemas.openxmlformats.org/officeDocument/2006/relationships/hyperlink" Target="#'VPB 2022 '!A1"/><Relationship Id="rId5" Type="http://schemas.openxmlformats.org/officeDocument/2006/relationships/image" Target="../media/image8.svg"/><Relationship Id="rId10" Type="http://schemas.openxmlformats.org/officeDocument/2006/relationships/hyperlink" Target="#'Tarifa de Conting&#234;ncia'!A1"/><Relationship Id="rId4" Type="http://schemas.openxmlformats.org/officeDocument/2006/relationships/image" Target="../media/image7.png"/><Relationship Id="rId9" Type="http://schemas.openxmlformats.org/officeDocument/2006/relationships/hyperlink" Target="#'B&#244;nus-Desconto'!A1"/><Relationship Id="rId14" Type="http://schemas.openxmlformats.org/officeDocument/2006/relationships/hyperlink" Target="#'Tarifas 2022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CF - 2022'!A1"/><Relationship Id="rId13" Type="http://schemas.openxmlformats.org/officeDocument/2006/relationships/hyperlink" Target="#Volume_2021!A1"/><Relationship Id="rId3" Type="http://schemas.openxmlformats.org/officeDocument/2006/relationships/image" Target="../media/image10.svg"/><Relationship Id="rId7" Type="http://schemas.openxmlformats.org/officeDocument/2006/relationships/hyperlink" Target="#'RTA 2022'!A1"/><Relationship Id="rId12" Type="http://schemas.openxmlformats.org/officeDocument/2006/relationships/hyperlink" Target="#'VPA 2022'!A1"/><Relationship Id="rId2" Type="http://schemas.openxmlformats.org/officeDocument/2006/relationships/image" Target="../media/image9.png"/><Relationship Id="rId1" Type="http://schemas.openxmlformats.org/officeDocument/2006/relationships/hyperlink" Target="#'&#205;ndices_2021 - Gr&#225;fico'!A1"/><Relationship Id="rId6" Type="http://schemas.openxmlformats.org/officeDocument/2006/relationships/hyperlink" Target="#F&#243;rmulas!A1"/><Relationship Id="rId11" Type="http://schemas.openxmlformats.org/officeDocument/2006/relationships/hyperlink" Target="#'VPB 2022 '!A1"/><Relationship Id="rId5" Type="http://schemas.openxmlformats.org/officeDocument/2006/relationships/image" Target="../media/image12.svg"/><Relationship Id="rId10" Type="http://schemas.openxmlformats.org/officeDocument/2006/relationships/hyperlink" Target="#'Tarifa de Conting&#234;ncia'!A1"/><Relationship Id="rId4" Type="http://schemas.openxmlformats.org/officeDocument/2006/relationships/image" Target="../media/image11.png"/><Relationship Id="rId9" Type="http://schemas.openxmlformats.org/officeDocument/2006/relationships/hyperlink" Target="#'B&#244;nus-Desconto'!A1"/><Relationship Id="rId14" Type="http://schemas.openxmlformats.org/officeDocument/2006/relationships/hyperlink" Target="#'Tarifas 2022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RTA 2022'!A1"/><Relationship Id="rId13" Type="http://schemas.openxmlformats.org/officeDocument/2006/relationships/hyperlink" Target="#'VPA 2022'!A1"/><Relationship Id="rId3" Type="http://schemas.openxmlformats.org/officeDocument/2006/relationships/hyperlink" Target="#&#205;ndices_2021!A1"/><Relationship Id="rId7" Type="http://schemas.openxmlformats.org/officeDocument/2006/relationships/hyperlink" Target="#F&#243;rmulas!A1"/><Relationship Id="rId12" Type="http://schemas.openxmlformats.org/officeDocument/2006/relationships/hyperlink" Target="#'VPB 2022 '!A1"/><Relationship Id="rId2" Type="http://schemas.openxmlformats.org/officeDocument/2006/relationships/image" Target="../media/image14.svg"/><Relationship Id="rId1" Type="http://schemas.openxmlformats.org/officeDocument/2006/relationships/image" Target="../media/image13.png"/><Relationship Id="rId6" Type="http://schemas.openxmlformats.org/officeDocument/2006/relationships/chart" Target="../charts/chart1.xml"/><Relationship Id="rId11" Type="http://schemas.openxmlformats.org/officeDocument/2006/relationships/hyperlink" Target="#'Tarifa de Conting&#234;ncia'!A1"/><Relationship Id="rId5" Type="http://schemas.openxmlformats.org/officeDocument/2006/relationships/image" Target="../media/image12.svg"/><Relationship Id="rId15" Type="http://schemas.openxmlformats.org/officeDocument/2006/relationships/hyperlink" Target="#'Tarifas 2022'!A1"/><Relationship Id="rId10" Type="http://schemas.openxmlformats.org/officeDocument/2006/relationships/hyperlink" Target="#'B&#244;nus-Desconto'!A1"/><Relationship Id="rId4" Type="http://schemas.openxmlformats.org/officeDocument/2006/relationships/image" Target="../media/image11.png"/><Relationship Id="rId9" Type="http://schemas.openxmlformats.org/officeDocument/2006/relationships/hyperlink" Target="#'CF - 2022'!A1"/><Relationship Id="rId14" Type="http://schemas.openxmlformats.org/officeDocument/2006/relationships/hyperlink" Target="#Volume_2021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RTA 2022'!A1"/><Relationship Id="rId13" Type="http://schemas.openxmlformats.org/officeDocument/2006/relationships/hyperlink" Target="#Volume_2021!A1"/><Relationship Id="rId3" Type="http://schemas.openxmlformats.org/officeDocument/2006/relationships/image" Target="../media/image16.svg"/><Relationship Id="rId7" Type="http://schemas.openxmlformats.org/officeDocument/2006/relationships/hyperlink" Target="#&#205;ndices_2021!A1"/><Relationship Id="rId12" Type="http://schemas.openxmlformats.org/officeDocument/2006/relationships/hyperlink" Target="#'VPA 2022'!A1"/><Relationship Id="rId2" Type="http://schemas.openxmlformats.org/officeDocument/2006/relationships/image" Target="../media/image15.png"/><Relationship Id="rId1" Type="http://schemas.openxmlformats.org/officeDocument/2006/relationships/hyperlink" Target="#'B&#244;nus-Desconto - Gr&#225;fico'!A1"/><Relationship Id="rId6" Type="http://schemas.openxmlformats.org/officeDocument/2006/relationships/hyperlink" Target="#F&#243;rmulas!A1"/><Relationship Id="rId11" Type="http://schemas.openxmlformats.org/officeDocument/2006/relationships/hyperlink" Target="#'VPB 2022 '!A1"/><Relationship Id="rId5" Type="http://schemas.openxmlformats.org/officeDocument/2006/relationships/image" Target="../media/image18.svg"/><Relationship Id="rId10" Type="http://schemas.openxmlformats.org/officeDocument/2006/relationships/hyperlink" Target="#'Tarifa de Conting&#234;ncia'!A1"/><Relationship Id="rId4" Type="http://schemas.openxmlformats.org/officeDocument/2006/relationships/image" Target="../media/image17.png"/><Relationship Id="rId9" Type="http://schemas.openxmlformats.org/officeDocument/2006/relationships/hyperlink" Target="#'CF - 2022'!A1"/><Relationship Id="rId14" Type="http://schemas.openxmlformats.org/officeDocument/2006/relationships/hyperlink" Target="#'Tarifas 2022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&#205;ndices_2021!A1"/><Relationship Id="rId13" Type="http://schemas.openxmlformats.org/officeDocument/2006/relationships/hyperlink" Target="#'VPA 2022'!A1"/><Relationship Id="rId3" Type="http://schemas.openxmlformats.org/officeDocument/2006/relationships/hyperlink" Target="#'B&#244;nus-Desconto'!A1"/><Relationship Id="rId7" Type="http://schemas.openxmlformats.org/officeDocument/2006/relationships/hyperlink" Target="#F&#243;rmulas!A1"/><Relationship Id="rId12" Type="http://schemas.openxmlformats.org/officeDocument/2006/relationships/hyperlink" Target="#'VPB 2022 '!A1"/><Relationship Id="rId2" Type="http://schemas.openxmlformats.org/officeDocument/2006/relationships/image" Target="../media/image10.svg"/><Relationship Id="rId1" Type="http://schemas.openxmlformats.org/officeDocument/2006/relationships/image" Target="../media/image9.png"/><Relationship Id="rId6" Type="http://schemas.openxmlformats.org/officeDocument/2006/relationships/chart" Target="../charts/chart2.xml"/><Relationship Id="rId11" Type="http://schemas.openxmlformats.org/officeDocument/2006/relationships/hyperlink" Target="#'Tarifa de Conting&#234;ncia'!A1"/><Relationship Id="rId5" Type="http://schemas.openxmlformats.org/officeDocument/2006/relationships/image" Target="../media/image19.svg"/><Relationship Id="rId15" Type="http://schemas.openxmlformats.org/officeDocument/2006/relationships/hyperlink" Target="#'Tarifas 2022'!A1"/><Relationship Id="rId10" Type="http://schemas.openxmlformats.org/officeDocument/2006/relationships/hyperlink" Target="#'CF - 2022'!A1"/><Relationship Id="rId4" Type="http://schemas.openxmlformats.org/officeDocument/2006/relationships/image" Target="../media/image11.png"/><Relationship Id="rId9" Type="http://schemas.openxmlformats.org/officeDocument/2006/relationships/hyperlink" Target="#'RTA 2022'!A1"/><Relationship Id="rId14" Type="http://schemas.openxmlformats.org/officeDocument/2006/relationships/hyperlink" Target="#Volume_2021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VPA 2022'!A1"/><Relationship Id="rId3" Type="http://schemas.openxmlformats.org/officeDocument/2006/relationships/hyperlink" Target="#'RTA 2022'!A1"/><Relationship Id="rId7" Type="http://schemas.openxmlformats.org/officeDocument/2006/relationships/hyperlink" Target="#'VPB 2022 '!A1"/><Relationship Id="rId2" Type="http://schemas.openxmlformats.org/officeDocument/2006/relationships/hyperlink" Target="#&#205;ndices_2021!A1"/><Relationship Id="rId1" Type="http://schemas.openxmlformats.org/officeDocument/2006/relationships/hyperlink" Target="#F&#243;rmulas!A1"/><Relationship Id="rId6" Type="http://schemas.openxmlformats.org/officeDocument/2006/relationships/hyperlink" Target="#'Tarifa de Conting&#234;ncia'!A1"/><Relationship Id="rId5" Type="http://schemas.openxmlformats.org/officeDocument/2006/relationships/hyperlink" Target="#'B&#244;nus-Desconto'!A1"/><Relationship Id="rId4" Type="http://schemas.openxmlformats.org/officeDocument/2006/relationships/hyperlink" Target="#'CF - 2022'!A1"/><Relationship Id="rId9" Type="http://schemas.openxmlformats.org/officeDocument/2006/relationships/hyperlink" Target="#'Tarifas 2022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VPB 2022 '!A1"/><Relationship Id="rId3" Type="http://schemas.openxmlformats.org/officeDocument/2006/relationships/hyperlink" Target="#'RTA 2022'!A1"/><Relationship Id="rId7" Type="http://schemas.openxmlformats.org/officeDocument/2006/relationships/hyperlink" Target="#Volume_2021!A1"/><Relationship Id="rId2" Type="http://schemas.openxmlformats.org/officeDocument/2006/relationships/hyperlink" Target="#&#205;ndices_2021!A1"/><Relationship Id="rId1" Type="http://schemas.openxmlformats.org/officeDocument/2006/relationships/hyperlink" Target="#F&#243;rmulas!A1"/><Relationship Id="rId6" Type="http://schemas.openxmlformats.org/officeDocument/2006/relationships/hyperlink" Target="#'Tarifa de Conting&#234;ncia'!A1"/><Relationship Id="rId5" Type="http://schemas.openxmlformats.org/officeDocument/2006/relationships/hyperlink" Target="#'B&#244;nus-Desconto'!A1"/><Relationship Id="rId4" Type="http://schemas.openxmlformats.org/officeDocument/2006/relationships/hyperlink" Target="#'CF - 2022'!A1"/><Relationship Id="rId9" Type="http://schemas.openxmlformats.org/officeDocument/2006/relationships/hyperlink" Target="#'Tarifas 2022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RTA 2022'!A1"/><Relationship Id="rId13" Type="http://schemas.openxmlformats.org/officeDocument/2006/relationships/hyperlink" Target="#Volume_2021!A1"/><Relationship Id="rId3" Type="http://schemas.openxmlformats.org/officeDocument/2006/relationships/image" Target="../media/image16.svg"/><Relationship Id="rId7" Type="http://schemas.openxmlformats.org/officeDocument/2006/relationships/hyperlink" Target="#&#205;ndices_2021!A1"/><Relationship Id="rId12" Type="http://schemas.openxmlformats.org/officeDocument/2006/relationships/hyperlink" Target="#'VPA 2022'!A1"/><Relationship Id="rId2" Type="http://schemas.openxmlformats.org/officeDocument/2006/relationships/image" Target="../media/image15.png"/><Relationship Id="rId1" Type="http://schemas.openxmlformats.org/officeDocument/2006/relationships/hyperlink" Target="#'VPB 2022 - Gr&#225;ficos'!A1"/><Relationship Id="rId6" Type="http://schemas.openxmlformats.org/officeDocument/2006/relationships/hyperlink" Target="#F&#243;rmulas!A1"/><Relationship Id="rId11" Type="http://schemas.openxmlformats.org/officeDocument/2006/relationships/hyperlink" Target="#'Tarifa de Conting&#234;ncia'!A1"/><Relationship Id="rId5" Type="http://schemas.openxmlformats.org/officeDocument/2006/relationships/image" Target="../media/image20.svg"/><Relationship Id="rId10" Type="http://schemas.openxmlformats.org/officeDocument/2006/relationships/hyperlink" Target="#'B&#244;nus-Desconto'!A1"/><Relationship Id="rId4" Type="http://schemas.openxmlformats.org/officeDocument/2006/relationships/image" Target="../media/image17.png"/><Relationship Id="rId9" Type="http://schemas.openxmlformats.org/officeDocument/2006/relationships/hyperlink" Target="#'CF - 2022'!A1"/><Relationship Id="rId14" Type="http://schemas.openxmlformats.org/officeDocument/2006/relationships/hyperlink" Target="#'Tarifas 202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6</xdr:row>
      <xdr:rowOff>14574</xdr:rowOff>
    </xdr:from>
    <xdr:to>
      <xdr:col>24</xdr:col>
      <xdr:colOff>304801</xdr:colOff>
      <xdr:row>11</xdr:row>
      <xdr:rowOff>152400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B09D8245-97FC-4C85-A3DB-112AD695FF2D}"/>
            </a:ext>
          </a:extLst>
        </xdr:cNvPr>
        <xdr:cNvSpPr txBox="1"/>
      </xdr:nvSpPr>
      <xdr:spPr>
        <a:xfrm>
          <a:off x="304801" y="1062324"/>
          <a:ext cx="14849475" cy="109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pt-BR" sz="1100" b="0" i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Reajuste Tarifário Anual é</a:t>
          </a:r>
          <a:r>
            <a:rPr lang="pt-BR" sz="1100" b="0" i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um mecanismos de atualização do valor das</a:t>
          </a:r>
          <a:r>
            <a:rPr lang="pt-BR" sz="1100" b="0" i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tarifas de água</a:t>
          </a:r>
          <a:r>
            <a:rPr lang="pt-BR" sz="1100" b="0" i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paga pelo usuário, aplicado anualmente, conforme</a:t>
          </a:r>
          <a:r>
            <a:rPr lang="pt-BR" sz="1100" b="0" i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pt-BR" sz="1100" b="0" i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fórmula prevista no contrato de concessão</a:t>
          </a:r>
          <a:r>
            <a:rPr lang="pt-BR" sz="1100" b="0" i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Nº 001/2006-ADASA. A fórmula utilizada para a apuração do índice de reajuste tarifário - IRT busca preservar o poder aquisitivo da receita da empresa, que tende a ser impactado pela</a:t>
          </a:r>
          <a:r>
            <a:rPr lang="pt-BR" sz="1100" b="0" i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inflação.</a:t>
          </a:r>
          <a:endParaRPr lang="pt-BR" sz="1100" b="0" i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endParaRPr lang="pt-BR" sz="1100" b="0" i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endParaRPr lang="pt-BR" sz="1100" b="0" i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FÓRMULAS:</a:t>
          </a:r>
        </a:p>
      </xdr:txBody>
    </xdr:sp>
    <xdr:clientData/>
  </xdr:twoCellAnchor>
  <xdr:oneCellAnchor>
    <xdr:from>
      <xdr:col>1</xdr:col>
      <xdr:colOff>153912</xdr:colOff>
      <xdr:row>11</xdr:row>
      <xdr:rowOff>150901</xdr:rowOff>
    </xdr:from>
    <xdr:ext cx="3390655" cy="5765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chemeClr val="tx2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500" b="1" i="1">
                      <a:solidFill>
                        <a:schemeClr val="tx2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5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𝑩𝑫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sSub>
                            <m:sSubPr>
                              <m:ctrlPr>
                                <a:rPr lang="pt-BR" sz="1500" b="1" i="1">
                                  <a:solidFill>
                                    <a:schemeClr val="tx2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pt-BR" sz="1500" b="1" i="1">
                                  <a:solidFill>
                                    <a:schemeClr val="tx2"/>
                                  </a:solidFill>
                                  <a:latin typeface="Cambria Math" panose="02040503050406030204" pitchFamily="18" charset="0"/>
                                </a:rPr>
                                <m:t>𝑻𝑨</m:t>
                              </m:r>
                              <m:r>
                                <a:rPr lang="pt-BR" sz="1500" b="1" i="1">
                                  <a:solidFill>
                                    <a:schemeClr val="tx2"/>
                                  </a:solidFill>
                                  <a:latin typeface="Cambria Math" panose="02040503050406030204" pitchFamily="18" charset="0"/>
                                </a:rPr>
                                <m:t>−</m:t>
                              </m:r>
                              <m:r>
                                <a:rPr lang="pt-BR" sz="1500" b="1" i="1">
                                  <a:solidFill>
                                    <a:schemeClr val="tx2"/>
                                  </a:solidFill>
                                  <a:latin typeface="Cambria Math" panose="02040503050406030204" pitchFamily="18" charset="0"/>
                                </a:rPr>
                                <m:t>𝑩𝑫</m:t>
                              </m:r>
                            </m:e>
                            <m:sub>
                              <m:r>
                                <a:rPr lang="pt-BR" sz="1500" b="1" i="1">
                                  <a:solidFill>
                                    <a:schemeClr val="tx2"/>
                                  </a:solidFill>
                                  <a:latin typeface="Cambria Math" panose="02040503050406030204" pitchFamily="18" charset="0"/>
                                </a:rPr>
                                <m:t>𝑫𝑹𝑨</m:t>
                              </m:r>
                            </m:sub>
                          </m:sSub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+ </m:t>
                          </m:r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</m:den>
                  </m:f>
                </m:oMath>
              </a14:m>
              <a:endParaRPr lang="pt-BR" sz="150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chemeClr val="tx2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500" b="1" i="0">
                  <a:solidFill>
                    <a:schemeClr val="tx2"/>
                  </a:solidFill>
                  <a:latin typeface="Cambria Math" panose="02040503050406030204" pitchFamily="18" charset="0"/>
                </a:rPr>
                <a:t>=  (〖𝑻𝑨〗_𝑫𝑹𝑷  + 〖𝑻𝑨−𝑩𝑫〗_𝑫𝑹𝑷+ 〖𝑻𝑩〗_𝑫𝑹𝑷  + 〖𝑻𝑭〗_𝑫𝑹𝑷)/(〖𝑻𝑨〗_𝑫𝑹𝑨  + 〖〖𝑻𝑨−𝑩𝑫〗_𝑫𝑹𝑨+ 𝑻𝑩〗_𝑫𝑹𝑨  + 〖𝑻𝑭〗_𝑫𝑹𝑨 )</a:t>
              </a:r>
              <a:endParaRPr lang="pt-BR" sz="150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130175</xdr:colOff>
      <xdr:row>30</xdr:row>
      <xdr:rowOff>87500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chemeClr val="tx2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35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35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𝑽𝑷𝑨</m:t>
                          </m:r>
                        </m:e>
                        <m:sub>
                          <m:r>
                            <a:rPr lang="pt-BR" sz="135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chemeClr val="tx2"/>
                  </a:solidFill>
                  <a:latin typeface="Cambria Math" panose="02040503050406030204" pitchFamily="18" charset="0"/>
                </a:rPr>
                <a:t>〖𝑻𝑨〗_𝑫𝑹𝑷=  〖𝑽𝑷𝑨〗_𝑫𝑹𝑷/𝑴𝑹</a:t>
              </a:r>
              <a:endParaRPr lang="pt-BR" sz="13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288925</xdr:colOff>
      <xdr:row>31</xdr:row>
      <xdr:rowOff>33051</xdr:rowOff>
    </xdr:from>
    <xdr:ext cx="587375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chemeClr val="tx2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chemeClr val="tx2"/>
                  </a:solidFill>
                </a:rPr>
                <a:t>: Valor</a:t>
              </a:r>
              <a:r>
                <a:rPr lang="pt-BR" sz="1000" b="0" i="1" baseline="0">
                  <a:solidFill>
                    <a:schemeClr val="tx2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chemeClr val="tx2"/>
                  </a:solidFill>
                  <a:latin typeface="Cambria Math" panose="02040503050406030204" pitchFamily="18" charset="0"/>
                </a:rPr>
                <a:t>〖𝑽𝑷𝑨〗_𝑫𝑹𝑷  </a:t>
              </a:r>
              <a:r>
                <a:rPr lang="pt-BR" sz="1000" b="0" i="1">
                  <a:solidFill>
                    <a:schemeClr val="tx2"/>
                  </a:solidFill>
                </a:rPr>
                <a:t>: Valor</a:t>
              </a:r>
              <a:r>
                <a:rPr lang="pt-BR" sz="1000" b="0" i="1" baseline="0">
                  <a:solidFill>
                    <a:schemeClr val="tx2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92074</xdr:colOff>
      <xdr:row>35</xdr:row>
      <xdr:rowOff>156876</xdr:rowOff>
    </xdr:from>
    <xdr:ext cx="2910418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1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150" b="1" i="1">
                      <a:solidFill>
                        <a:schemeClr val="tx2"/>
                      </a:solidFill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pt-BR" sz="11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𝑫𝑹𝑨</m:t>
                      </m:r>
                      <m:r>
                        <a:rPr lang="pt-BR" sz="11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sub>
                  </m:sSub>
                  <m:r>
                    <a:rPr lang="pt-BR" sz="1150" b="1" i="1">
                      <a:solidFill>
                        <a:schemeClr val="tx2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×(</m:t>
                  </m:r>
                  <m:r>
                    <a:rPr lang="pt-BR" sz="1150" b="1" i="1">
                      <a:solidFill>
                        <a:schemeClr val="tx2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𝑰𝒓𝑩</m:t>
                  </m:r>
                  <m:r>
                    <a:rPr lang="pt-BR" sz="1150" b="1" i="1">
                      <a:solidFill>
                        <a:schemeClr val="tx2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−</m:t>
                  </m:r>
                  <m:r>
                    <a:rPr lang="pt-BR" sz="1150" b="1" i="1">
                      <a:solidFill>
                        <a:schemeClr val="tx2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𝑿</m:t>
                  </m:r>
                  <m:r>
                    <a:rPr lang="pt-BR" sz="1150" b="1" i="1">
                      <a:solidFill>
                        <a:schemeClr val="tx2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</m:oMath>
              </a14:m>
              <a:endParaRPr lang="pt-BR" sz="11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150" b="1" i="0">
                  <a:solidFill>
                    <a:schemeClr val="tx2"/>
                  </a:solidFill>
                  <a:latin typeface="Cambria Math" panose="02040503050406030204" pitchFamily="18" charset="0"/>
                </a:rPr>
                <a:t>〖𝑻𝑩〗_𝑫𝑹𝑷= 〖𝑻𝑩〗_(𝑫𝑹𝑨 )</a:t>
              </a:r>
              <a:r>
                <a:rPr lang="pt-BR" sz="1150" b="1" i="0">
                  <a:solidFill>
                    <a:schemeClr val="tx2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×(𝑰𝒓𝑩 −𝑿)</a:t>
              </a:r>
              <a:endParaRPr lang="pt-BR" sz="11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250825</xdr:colOff>
      <xdr:row>35</xdr:row>
      <xdr:rowOff>175926</xdr:rowOff>
    </xdr:from>
    <xdr:ext cx="5807075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chemeClr val="tx2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chemeClr val="tx2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%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𝑷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𝑰𝑵𝑷𝑪</m:t>
                          </m:r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latin typeface="Cambria Math" panose="02040503050406030204" pitchFamily="18" charset="0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1">
                      <a:solidFill>
                        <a:schemeClr val="tx2"/>
                      </a:solidFill>
                      <a:latin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𝑬𝑬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𝑬𝑵𝑬𝑹𝑮𝑰𝑨</m:t>
                          </m:r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chemeClr val="tx2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𝑴𝑻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𝑹𝑰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chemeClr val="tx2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(%</m:t>
                  </m:r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𝑶𝑪</m:t>
                  </m:r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∆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endParaRPr lang="pt-BR" sz="100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chemeClr val="tx2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chemeClr val="tx2"/>
                  </a:solidFill>
                  <a:latin typeface="Cambria Math" panose="02040503050406030204" pitchFamily="18" charset="0"/>
                </a:rPr>
                <a:t>=(%𝑷</a:t>
              </a:r>
              <a:r>
                <a:rPr lang="pt-BR" sz="1000" b="1" i="0">
                  <a:solidFill>
                    <a:schemeClr val="tx2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×∆_(𝑰𝑵𝑷𝑪</a:t>
              </a:r>
              <a:r>
                <a:rPr lang="pt-BR" sz="1000" b="1" i="0">
                  <a:solidFill>
                    <a:schemeClr val="tx2"/>
                  </a:solidFill>
                  <a:latin typeface="Cambria Math" panose="02040503050406030204" pitchFamily="18" charset="0"/>
                </a:rPr>
                <a:t> ) )+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%𝑬𝑬×∆_(𝑬𝑵𝑬𝑹𝑮𝑰𝑨 ) )</a:t>
              </a:r>
              <a:r>
                <a:rPr lang="pt-BR" sz="1000" b="1" i="0">
                  <a:solidFill>
                    <a:schemeClr val="tx2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(%𝑴𝑻×∆_(𝑰𝑮𝑷−𝑴 ) )+(%𝑹𝑰×∆_(𝑰𝑮𝑷−𝑴 ) )+(%𝑶𝑪×∆_(𝑰𝑷𝑪𝑨 ))</a:t>
              </a:r>
              <a:endParaRPr lang="pt-BR" sz="100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104775</xdr:colOff>
      <xdr:row>42</xdr:row>
      <xdr:rowOff>71151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𝑻𝑭</m:t>
                      </m:r>
                    </m:e>
                    <m:sub>
                      <m: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chemeClr val="tx2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𝑪𝑭</m:t>
                      </m:r>
                    </m:num>
                    <m:den>
                      <m:r>
                        <a:rPr lang="pt-BR" sz="135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chemeClr val="tx2"/>
                  </a:solidFill>
                  <a:latin typeface="Cambria Math" panose="02040503050406030204" pitchFamily="18" charset="0"/>
                </a:rPr>
                <a:t>〖𝑻𝑭〗_𝑫𝑹𝑷=  𝑪𝑭/𝑴𝑹</a:t>
              </a:r>
              <a:endParaRPr lang="pt-BR" sz="13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197464</xdr:colOff>
      <xdr:row>42</xdr:row>
      <xdr:rowOff>80676</xdr:rowOff>
    </xdr:from>
    <xdr:ext cx="3212486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𝑪𝑭</m:t>
                  </m:r>
                  <m:r>
                    <a:rPr lang="pt-BR" sz="1000" b="1" i="1"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nary>
                    <m:naryPr>
                      <m:chr m:val="∑"/>
                      <m:ctrlPr>
                        <a:rPr lang="pt-BR" sz="1000" b="1" i="1">
                          <a:solidFill>
                            <a:schemeClr val="accent1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pt-BR" sz="1000" b="1" i="1">
                          <a:solidFill>
                            <a:schemeClr val="accent1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  <m:r>
                        <a:rPr lang="pt-BR" sz="1000" b="1" i="1">
                          <a:solidFill>
                            <a:schemeClr val="accent1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</m:t>
                      </m:r>
                      <m:r>
                        <a:rPr lang="pt-BR" sz="1000" b="1" i="1">
                          <a:solidFill>
                            <a:schemeClr val="accent1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</m:sub>
                    <m:sup>
                      <m:r>
                        <a:rPr lang="pt-BR" sz="1000" b="1" i="1">
                          <a:solidFill>
                            <a:schemeClr val="accent1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𝟏𝟐</m:t>
                      </m:r>
                    </m:sup>
                    <m:e>
                      <m:sSub>
                        <m:sSubPr>
                          <m:ctrlP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(</m:t>
                          </m:r>
                          <m: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𝑪𝑷𝑨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</m:sub>
                      </m:sSub>
                      <m:r>
                        <a:rPr lang="pt-BR" sz="1000" b="1" i="1">
                          <a:solidFill>
                            <a:schemeClr val="accent1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−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𝑽𝑷𝑨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  <m: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  <m:r>
                        <a:rPr lang="pt-BR" sz="1000" b="1" i="1">
                          <a:solidFill>
                            <a:schemeClr val="accent1">
                              <a:lumMod val="75000"/>
                            </a:schemeClr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 ×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𝑰𝑷𝑪𝑨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chemeClr val="accent1">
                                  <a:lumMod val="75000"/>
                                </a:schemeClr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𝒊𝑫𝑹𝑷</m:t>
                          </m:r>
                        </m:sub>
                      </m:sSub>
                    </m:e>
                  </m:nary>
                  <m:r>
                    <a:rPr lang="pt-BR" sz="1000" b="1" i="1"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endParaRPr lang="pt-BR" sz="1000" b="1" i="1">
                <a:solidFill>
                  <a:schemeClr val="accent1">
                    <a:lumMod val="75000"/>
                  </a:schemeClr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chemeClr val="accent1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𝑪𝑭=∑_(𝒊=𝟏)^𝟏𝟐▒〖〖(𝑪𝑷𝑨〗_𝒊  − 〖𝑽𝑷𝑨〗_(𝒊 )) × 〖𝑰𝑷𝑪𝑨〗_𝒊𝑫𝑹𝑷 〗  </a:t>
              </a:r>
              <a:endParaRPr lang="pt-BR" sz="1000" b="1" i="1">
                <a:solidFill>
                  <a:schemeClr val="accent1">
                    <a:lumMod val="75000"/>
                  </a:schemeClr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5</xdr:col>
      <xdr:colOff>206620</xdr:colOff>
      <xdr:row>44</xdr:row>
      <xdr:rowOff>80676</xdr:rowOff>
    </xdr:from>
    <xdr:ext cx="5893464" cy="14052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𝑪𝑷𝑨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0" i="1" baseline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0" i="1" baseline="0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𝑉𝑃𝐴</m:t>
                      </m:r>
                    </m:e>
                    <m:sub>
                      <m:r>
                        <a:rPr lang="pt-BR" sz="1000" b="0" i="1" baseline="0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b>
                    <m:sSubPr>
                      <m:ctrlPr>
                        <a:rPr lang="pt-BR" sz="1000" b="0" i="1" baseline="0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𝑇𝐴</m:t>
                      </m:r>
                    </m:e>
                    <m:sub>
                      <m:r>
                        <a:rPr lang="pt-BR" sz="1000" b="0" i="1" baseline="0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𝐷𝑅𝐴</m:t>
                      </m:r>
                    </m:sub>
                  </m:sSub>
                  <m:r>
                    <a:rPr lang="pt-BR" sz="1000" b="0" i="1" baseline="0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 </m:t>
                  </m:r>
                  <m:sSub>
                    <m:sSubPr>
                      <m:ctrlPr>
                        <a:rPr lang="pt-BR" sz="1000" b="0" i="1" baseline="0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𝑀𝑅</m:t>
                      </m:r>
                    </m:e>
                    <m:sub>
                      <m:r>
                        <a:rPr lang="pt-BR" sz="1000" b="0" i="1" baseline="0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;</m:t>
                  </m:r>
                </m:oMath>
              </a14:m>
              <a:endParaRPr lang="pt-BR" sz="1000" b="0" i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𝒊𝑫𝑹𝑷</m:t>
                      </m:r>
                    </m:sub>
                  </m:sSub>
                </m:oMath>
              </a14:m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chemeClr val="tx2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〖𝑪𝑷𝑨〗_𝒊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〖𝑽𝑷𝑨〗_𝒊</a:t>
              </a:r>
              <a:r>
                <a:rPr lang="pt-BR" sz="1000" b="0" i="1" baseline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:r>
                <a:rPr lang="pt-BR" sz="1000" b="0" i="0" baseline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〖𝑉𝑃𝐴〗_𝑖= 〖𝑇𝐴〗_𝐷𝑅𝐴</a:t>
              </a:r>
              <a:r>
                <a:rPr lang="pt-BR" sz="1000" b="0" i="0" baseline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 〖𝑀𝑅〗_𝑖;</a:t>
              </a:r>
              <a:endParaRPr lang="pt-BR" sz="1000" b="0" i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〖𝑰𝑷𝑪𝑨〗_𝒊𝑫𝑹𝑷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chemeClr val="tx2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 editAs="oneCell">
    <xdr:from>
      <xdr:col>0</xdr:col>
      <xdr:colOff>438150</xdr:colOff>
      <xdr:row>3</xdr:row>
      <xdr:rowOff>76200</xdr:rowOff>
    </xdr:from>
    <xdr:to>
      <xdr:col>1</xdr:col>
      <xdr:colOff>114300</xdr:colOff>
      <xdr:row>4</xdr:row>
      <xdr:rowOff>171450</xdr:rowOff>
    </xdr:to>
    <xdr:pic>
      <xdr:nvPicPr>
        <xdr:cNvPr id="3" name="Gráfico 2" descr="Informações">
          <a:extLst>
            <a:ext uri="{FF2B5EF4-FFF2-40B4-BE49-F238E27FC236}">
              <a16:creationId xmlns:a16="http://schemas.microsoft.com/office/drawing/2014/main" id="{66AB6D2A-2C10-424D-BD04-EDFAAB77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8150" y="49530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590549</xdr:colOff>
      <xdr:row>3</xdr:row>
      <xdr:rowOff>66676</xdr:rowOff>
    </xdr:from>
    <xdr:to>
      <xdr:col>2</xdr:col>
      <xdr:colOff>304799</xdr:colOff>
      <xdr:row>4</xdr:row>
      <xdr:rowOff>200026</xdr:rowOff>
    </xdr:to>
    <xdr:pic>
      <xdr:nvPicPr>
        <xdr:cNvPr id="5" name="Gráfico 4" descr="Calendário diári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4192D9-F3A0-4BBF-BCBA-78E19A876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200149" y="485776"/>
          <a:ext cx="323850" cy="323850"/>
        </a:xfrm>
        <a:prstGeom prst="rect">
          <a:avLst/>
        </a:prstGeom>
      </xdr:spPr>
    </xdr:pic>
    <xdr:clientData/>
  </xdr:twoCellAnchor>
  <xdr:oneCellAnchor>
    <xdr:from>
      <xdr:col>5</xdr:col>
      <xdr:colOff>266700</xdr:colOff>
      <xdr:row>37</xdr:row>
      <xdr:rowOff>95250</xdr:rowOff>
    </xdr:from>
    <xdr:ext cx="5524500" cy="752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BD9E1E47-5C96-4518-B291-CCF2DB993042}"/>
            </a:ext>
          </a:extLst>
        </xdr:cNvPr>
        <xdr:cNvSpPr txBox="1"/>
      </xdr:nvSpPr>
      <xdr:spPr>
        <a:xfrm>
          <a:off x="3314700" y="7048500"/>
          <a:ext cx="5524500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pt-BR" sz="1000" b="0" i="1" baseline="0">
              <a:solidFill>
                <a:schemeClr val="tx2"/>
              </a:solidFill>
              <a:latin typeface="+mn-lt"/>
            </a:rPr>
            <a:t>% P x </a:t>
          </a:r>
          <a:r>
            <a:rPr lang="el-GR" sz="1000" b="0" i="1" baseline="0">
              <a:solidFill>
                <a:schemeClr val="tx2"/>
              </a:solidFill>
              <a:latin typeface="+mn-lt"/>
            </a:rPr>
            <a:t>Δ </a:t>
          </a:r>
          <a:r>
            <a:rPr lang="pt-BR" sz="1000" b="0" i="1" baseline="0">
              <a:solidFill>
                <a:schemeClr val="tx2"/>
              </a:solidFill>
              <a:latin typeface="+mn-lt"/>
            </a:rPr>
            <a:t>INPC = Proporção dos custos de pessoal multiplicado pela variação do INPC</a:t>
          </a:r>
        </a:p>
        <a:p>
          <a:r>
            <a:rPr lang="pt-BR" sz="1000" b="0" i="1" baseline="0">
              <a:solidFill>
                <a:schemeClr val="tx2"/>
              </a:solidFill>
              <a:latin typeface="+mn-lt"/>
            </a:rPr>
            <a:t>% EE x </a:t>
          </a:r>
          <a:r>
            <a:rPr lang="el-GR" sz="1000" b="0" i="1" baseline="0">
              <a:solidFill>
                <a:schemeClr val="tx2"/>
              </a:solidFill>
              <a:latin typeface="+mn-lt"/>
            </a:rPr>
            <a:t>Δ </a:t>
          </a:r>
          <a:r>
            <a:rPr lang="pt-BR" sz="1000" b="0" i="1" baseline="0">
              <a:solidFill>
                <a:schemeClr val="tx2"/>
              </a:solidFill>
              <a:latin typeface="+mn-lt"/>
            </a:rPr>
            <a:t>energia = Proporção dos custos energia elétrica multiplicado pela variação do índice de energia</a:t>
          </a:r>
        </a:p>
        <a:p>
          <a:r>
            <a:rPr lang="pt-BR" sz="1000" b="0" i="1">
              <a:solidFill>
                <a:schemeClr val="tx2"/>
              </a:solidFill>
            </a:rPr>
            <a:t>% MT x </a:t>
          </a:r>
          <a:r>
            <a:rPr lang="el-GR" sz="1000" b="0" i="1">
              <a:solidFill>
                <a:schemeClr val="tx2"/>
              </a:solidFill>
            </a:rPr>
            <a:t>Δ </a:t>
          </a:r>
          <a:r>
            <a:rPr lang="pt-BR" sz="1000" b="0" i="1">
              <a:solidFill>
                <a:schemeClr val="tx2"/>
              </a:solidFill>
            </a:rPr>
            <a:t>IGP-M = Proporção dos custos de material de tratamento multiplicado pela variação do IGP-M</a:t>
          </a:r>
        </a:p>
        <a:p>
          <a:r>
            <a:rPr lang="pt-BR" sz="1000" b="0" i="1">
              <a:solidFill>
                <a:schemeClr val="tx2"/>
              </a:solidFill>
            </a:rPr>
            <a:t>% RI x </a:t>
          </a:r>
          <a:r>
            <a:rPr lang="el-GR" sz="1000" b="0" i="1">
              <a:solidFill>
                <a:schemeClr val="tx2"/>
              </a:solidFill>
            </a:rPr>
            <a:t>Δ </a:t>
          </a:r>
          <a:r>
            <a:rPr lang="pt-BR" sz="1000" b="0" i="1">
              <a:solidFill>
                <a:schemeClr val="tx2"/>
              </a:solidFill>
            </a:rPr>
            <a:t>IGP-M = Proporção da remuneração dos investimentos multiplicado pela variação do IGP-M</a:t>
          </a:r>
        </a:p>
        <a:p>
          <a:r>
            <a:rPr lang="pt-BR" sz="1000" b="0" i="1">
              <a:solidFill>
                <a:schemeClr val="tx2"/>
              </a:solidFill>
            </a:rPr>
            <a:t>% OC x </a:t>
          </a:r>
          <a:r>
            <a:rPr lang="el-GR" sz="1000" b="0" i="1">
              <a:solidFill>
                <a:schemeClr val="tx2"/>
              </a:solidFill>
            </a:rPr>
            <a:t>Δ </a:t>
          </a:r>
          <a:r>
            <a:rPr lang="pt-BR" sz="1000" b="0" i="1">
              <a:solidFill>
                <a:schemeClr val="tx2"/>
              </a:solidFill>
            </a:rPr>
            <a:t>IPCA = Proporção de outros custos multiplicado pela variação do IPCA</a:t>
          </a:r>
        </a:p>
      </xdr:txBody>
    </xdr:sp>
    <xdr:clientData/>
  </xdr:oneCellAnchor>
  <xdr:twoCellAnchor>
    <xdr:from>
      <xdr:col>0</xdr:col>
      <xdr:colOff>0</xdr:colOff>
      <xdr:row>1</xdr:row>
      <xdr:rowOff>0</xdr:rowOff>
    </xdr:from>
    <xdr:to>
      <xdr:col>27</xdr:col>
      <xdr:colOff>476250</xdr:colOff>
      <xdr:row>2</xdr:row>
      <xdr:rowOff>97500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1EC3FA1F-6172-4C00-A818-FA025A1DC01B}"/>
            </a:ext>
          </a:extLst>
        </xdr:cNvPr>
        <xdr:cNvGrpSpPr/>
      </xdr:nvGrpSpPr>
      <xdr:grpSpPr>
        <a:xfrm>
          <a:off x="0" y="42333"/>
          <a:ext cx="17316450" cy="288000"/>
          <a:chOff x="0" y="38100"/>
          <a:chExt cx="17247507" cy="288000"/>
        </a:xfrm>
      </xdr:grpSpPr>
      <xdr:grpSp>
        <xdr:nvGrpSpPr>
          <xdr:cNvPr id="113" name="Agrupar 112">
            <a:extLst>
              <a:ext uri="{FF2B5EF4-FFF2-40B4-BE49-F238E27FC236}">
                <a16:creationId xmlns:a16="http://schemas.microsoft.com/office/drawing/2014/main" id="{F1BE731D-3330-445F-B8C9-918D74C6AC95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115" name="Retângulo: Cantos Superiores Arredondados 114">
              <a:extLst>
                <a:ext uri="{FF2B5EF4-FFF2-40B4-BE49-F238E27FC236}">
                  <a16:creationId xmlns:a16="http://schemas.microsoft.com/office/drawing/2014/main" id="{7C84B692-A6E9-4B09-8819-AF8A384CCB86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116" name="Retângulo: Cantos Superiores Arredondados 1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8652E0DA-1FCC-406D-A6E1-7B8573F39F5E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</a:p>
          </xdr:txBody>
        </xdr:sp>
        <xdr:sp macro="" textlink="">
          <xdr:nvSpPr>
            <xdr:cNvPr id="117" name="Retângulo: Cantos Superiores Arredondados 116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D4CCE12B-515F-4BC1-B3C4-0254735E9002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118" name="Retângulo: Cantos Superiores Arredondados 117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069DBE55-3277-45FE-80B8-6ACBA2639365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119" name="Retângulo: Cantos Superiores Arredondados 118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D0D4A5B0-A6D9-40B8-B69F-85E157A38E88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120" name="Retângulo: Cantos Superiores Arredondados 119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95860CB4-792D-46E9-9BE2-F388629880FF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121" name="Retângulo: Cantos Superiores Arredondados 120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1A69365D-9C25-42D0-8EFA-474D4AE95D24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122" name="Retângulo: Cantos Superiores Arredondados 121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579E331A-7C4E-4D5C-82AB-2AED49337D71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123" name="Retângulo: Cantos Superiores Arredondados 122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4869C1A0-558B-447B-9996-CC65C2068141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114" name="Retângulo: Cantos Superiores Arredondados 11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2914545B-4CD8-4ACE-8CB6-47D0E09BA97A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  <xdr:oneCellAnchor>
    <xdr:from>
      <xdr:col>5</xdr:col>
      <xdr:colOff>323849</xdr:colOff>
      <xdr:row>15</xdr:row>
      <xdr:rowOff>95251</xdr:rowOff>
    </xdr:from>
    <xdr:ext cx="5381626" cy="2590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chemeClr val="tx2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chemeClr val="tx2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chemeClr val="tx2"/>
                  </a:solidFill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chemeClr val="tx2"/>
                </a:solidFill>
              </a:endParaRPr>
            </a:p>
            <a:p>
              <a:endParaRPr lang="pt-BR" sz="1000" b="0" i="1">
                <a:solidFill>
                  <a:schemeClr val="tx2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</m:oMath>
              </a14:m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chemeClr val="tx2"/>
                </a:solidFill>
                <a:effectLst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chemeClr val="tx2"/>
                </a:solidFill>
                <a:effectLst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chemeClr val="tx2"/>
                </a:solidFill>
                <a:effectLst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𝑻𝑭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chemeClr val="tx2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chemeClr val="tx2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chemeClr val="tx2"/>
                </a:solidFill>
                <a:effectLst/>
              </a:endParaRPr>
            </a:p>
          </xdr:txBody>
        </xdr:sp>
      </mc:Choice>
      <mc:Fallback xmlns="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chemeClr val="tx2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chemeClr val="tx2"/>
                  </a:solidFill>
                  <a:latin typeface="Cambria Math" panose="02040503050406030204" pitchFamily="18" charset="0"/>
                </a:rPr>
                <a:t>〖𝑻𝑨〗_𝑫𝑹𝑷  </a:t>
              </a:r>
              <a:r>
                <a:rPr lang="pt-BR" sz="1000" b="0" i="1">
                  <a:solidFill>
                    <a:schemeClr val="tx2"/>
                  </a:solidFill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chemeClr val="tx2"/>
                </a:solidFill>
              </a:endParaRPr>
            </a:p>
            <a:p>
              <a:endParaRPr lang="pt-BR" sz="1000" b="0" i="1">
                <a:solidFill>
                  <a:schemeClr val="tx2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〖𝑻𝑨〗_𝑫𝑹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𝑨</a:t>
              </a:r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chemeClr val="tx2"/>
                </a:solidFill>
                <a:effectLst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〖𝑻𝑨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−𝑩𝑫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〗_𝑫𝑹𝑷  </a:t>
              </a:r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〖𝑻𝑨−𝑩𝑫〗_𝑫𝑹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𝑨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〖𝑻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𝑩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〗_𝑫𝑹𝑷  </a:t>
              </a:r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chemeClr val="tx2"/>
                </a:solidFill>
                <a:effectLst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〖𝑻𝑩〗_𝑫𝑹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𝑨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chemeClr val="tx2"/>
                </a:solidFill>
                <a:effectLst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〖𝑻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𝑭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〗_𝑫𝑹𝑷  </a:t>
              </a:r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〖𝑻𝑩〗_𝑫𝑹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𝑨</a:t>
              </a:r>
              <a:r>
                <a:rPr lang="pt-BR" sz="1000" b="1" i="0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pt-BR" sz="1000" b="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chemeClr val="tx2"/>
                </a:solidFill>
                <a:effectLst/>
              </a:endParaRPr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41274</xdr:rowOff>
    </xdr:from>
    <xdr:to>
      <xdr:col>6</xdr:col>
      <xdr:colOff>285750</xdr:colOff>
      <xdr:row>26</xdr:row>
      <xdr:rowOff>62442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EBC788-1D87-4CAB-A22D-59133CDBF722}"/>
            </a:ext>
            <a:ext uri="{147F2762-F138-4A5C-976F-8EAC2B608ADB}">
              <a16:predDERef xmlns:a16="http://schemas.microsoft.com/office/drawing/2014/main" pred="{BEEEF75C-D86C-4111-A493-EECAD3BAF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404283</xdr:colOff>
      <xdr:row>8</xdr:row>
      <xdr:rowOff>70908</xdr:rowOff>
    </xdr:from>
    <xdr:to>
      <xdr:col>9</xdr:col>
      <xdr:colOff>1037168</xdr:colOff>
      <xdr:row>26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5AA4A4-8D8B-4942-8450-EDE563A35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504825</xdr:colOff>
      <xdr:row>2</xdr:row>
      <xdr:rowOff>171450</xdr:rowOff>
    </xdr:from>
    <xdr:to>
      <xdr:col>1</xdr:col>
      <xdr:colOff>866775</xdr:colOff>
      <xdr:row>4</xdr:row>
      <xdr:rowOff>152400</xdr:rowOff>
    </xdr:to>
    <xdr:pic>
      <xdr:nvPicPr>
        <xdr:cNvPr id="39" name="Gráfico 38" descr="Gráfico de barras">
          <a:extLst>
            <a:ext uri="{FF2B5EF4-FFF2-40B4-BE49-F238E27FC236}">
              <a16:creationId xmlns:a16="http://schemas.microsoft.com/office/drawing/2014/main" id="{1A4DBC52-8DDC-4086-967A-25895E722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14425" y="40005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3</xdr:row>
      <xdr:rowOff>9526</xdr:rowOff>
    </xdr:from>
    <xdr:to>
      <xdr:col>1</xdr:col>
      <xdr:colOff>123824</xdr:colOff>
      <xdr:row>4</xdr:row>
      <xdr:rowOff>114300</xdr:rowOff>
    </xdr:to>
    <xdr:pic>
      <xdr:nvPicPr>
        <xdr:cNvPr id="40" name="Gráfico 39" descr="Calculador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33EB7F9-657A-4F95-B532-3E344313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38150" y="428626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12</xdr:col>
      <xdr:colOff>1419225</xdr:colOff>
      <xdr:row>2</xdr:row>
      <xdr:rowOff>97500</xdr:rowOff>
    </xdr:to>
    <xdr:grpSp>
      <xdr:nvGrpSpPr>
        <xdr:cNvPr id="42" name="Agrupar 41">
          <a:extLst>
            <a:ext uri="{FF2B5EF4-FFF2-40B4-BE49-F238E27FC236}">
              <a16:creationId xmlns:a16="http://schemas.microsoft.com/office/drawing/2014/main" id="{0B2F8891-9D22-4D1D-90B2-D0CC8E6F8E29}"/>
            </a:ext>
          </a:extLst>
        </xdr:cNvPr>
        <xdr:cNvGrpSpPr/>
      </xdr:nvGrpSpPr>
      <xdr:grpSpPr>
        <a:xfrm>
          <a:off x="0" y="42333"/>
          <a:ext cx="17242367" cy="288000"/>
          <a:chOff x="0" y="38100"/>
          <a:chExt cx="17247507" cy="288000"/>
        </a:xfrm>
      </xdr:grpSpPr>
      <xdr:grpSp>
        <xdr:nvGrpSpPr>
          <xdr:cNvPr id="43" name="Agrupar 42">
            <a:extLst>
              <a:ext uri="{FF2B5EF4-FFF2-40B4-BE49-F238E27FC236}">
                <a16:creationId xmlns:a16="http://schemas.microsoft.com/office/drawing/2014/main" id="{A4573FEF-30E7-4B5D-BEC5-7B934F51AE6E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45" name="Retângulo: Cantos Superiores Arredondados 44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84C7164D-8AFD-4031-BDCB-A6062D98C600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46" name="Retângulo: Cantos Superiores Arredondados 45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231FC3F6-563D-4FDE-85AE-66C145D6407A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</a:p>
          </xdr:txBody>
        </xdr:sp>
        <xdr:sp macro="" textlink="">
          <xdr:nvSpPr>
            <xdr:cNvPr id="47" name="Retângulo: Cantos Superiores Arredondados 46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3149D3AD-F0CE-4C5D-BFFE-C2191D6565E8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48" name="Retângulo: Cantos Superiores Arredondados 47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AA332125-B0A5-4931-BB4A-B647EAA9ADAF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49" name="Retângulo: Cantos Superiores Arredondados 48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A92D0AEB-DA8F-4974-98D5-DF7174C79F27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0" name="Retângulo: Cantos Superiores Arredondados 49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22445EC7-2591-4518-83D8-9E24CDC3C038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1" name="Retângulo: Cantos Superiores Arredondados 50">
              <a:extLst>
                <a:ext uri="{FF2B5EF4-FFF2-40B4-BE49-F238E27FC236}">
                  <a16:creationId xmlns:a16="http://schemas.microsoft.com/office/drawing/2014/main" id="{01CB8991-48AB-4EB8-A22B-8D929AEE3E3D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2" name="Retângulo: Cantos Superiores Arredondados 51">
              <a:hlinkClick xmlns:r="http://schemas.openxmlformats.org/officeDocument/2006/relationships" r:id="rId14"/>
              <a:extLst>
                <a:ext uri="{FF2B5EF4-FFF2-40B4-BE49-F238E27FC236}">
                  <a16:creationId xmlns:a16="http://schemas.microsoft.com/office/drawing/2014/main" id="{37975962-CAA3-4F19-A556-5565FC763490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53" name="Retângulo: Cantos Superiores Arredondados 52">
              <a:hlinkClick xmlns:r="http://schemas.openxmlformats.org/officeDocument/2006/relationships" r:id="rId15"/>
              <a:extLst>
                <a:ext uri="{FF2B5EF4-FFF2-40B4-BE49-F238E27FC236}">
                  <a16:creationId xmlns:a16="http://schemas.microsoft.com/office/drawing/2014/main" id="{058E0144-6905-400E-82D4-B50915FBA9EA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44" name="Retângulo: Cantos Superiores Arredondados 4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F41A2C7C-9B67-4F2F-9F2A-FA9FEA209D33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3</xdr:row>
      <xdr:rowOff>38101</xdr:rowOff>
    </xdr:from>
    <xdr:to>
      <xdr:col>1</xdr:col>
      <xdr:colOff>485774</xdr:colOff>
      <xdr:row>4</xdr:row>
      <xdr:rowOff>142875</xdr:rowOff>
    </xdr:to>
    <xdr:pic>
      <xdr:nvPicPr>
        <xdr:cNvPr id="64" name="Gráfico 63" descr="Calculadora">
          <a:extLst>
            <a:ext uri="{FF2B5EF4-FFF2-40B4-BE49-F238E27FC236}">
              <a16:creationId xmlns:a16="http://schemas.microsoft.com/office/drawing/2014/main" id="{BA77D102-8A19-40D3-88F0-BEB4A345C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19100" y="457201"/>
          <a:ext cx="295274" cy="295274"/>
        </a:xfrm>
        <a:prstGeom prst="rect">
          <a:avLst/>
        </a:prstGeom>
      </xdr:spPr>
    </xdr:pic>
    <xdr:clientData/>
  </xdr:twoCellAnchor>
  <xdr:twoCellAnchor editAs="oneCell">
    <xdr:from>
      <xdr:col>1</xdr:col>
      <xdr:colOff>971549</xdr:colOff>
      <xdr:row>3</xdr:row>
      <xdr:rowOff>76202</xdr:rowOff>
    </xdr:from>
    <xdr:to>
      <xdr:col>1</xdr:col>
      <xdr:colOff>1228722</xdr:colOff>
      <xdr:row>4</xdr:row>
      <xdr:rowOff>142875</xdr:rowOff>
    </xdr:to>
    <xdr:pic>
      <xdr:nvPicPr>
        <xdr:cNvPr id="66" name="Gráfico 65" descr="Adiciona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3332A55-E36A-4691-8B67-CBC289C7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200149" y="495302"/>
          <a:ext cx="257173" cy="2571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19</xdr:col>
      <xdr:colOff>323850</xdr:colOff>
      <xdr:row>2</xdr:row>
      <xdr:rowOff>97500</xdr:rowOff>
    </xdr:to>
    <xdr:grpSp>
      <xdr:nvGrpSpPr>
        <xdr:cNvPr id="50" name="Agrupar 66">
          <a:extLst>
            <a:ext uri="{FF2B5EF4-FFF2-40B4-BE49-F238E27FC236}">
              <a16:creationId xmlns:a16="http://schemas.microsoft.com/office/drawing/2014/main" id="{2D1021D4-F181-4E39-8F89-2E9A3FF34AF2}"/>
            </a:ext>
          </a:extLst>
        </xdr:cNvPr>
        <xdr:cNvGrpSpPr/>
      </xdr:nvGrpSpPr>
      <xdr:grpSpPr>
        <a:xfrm>
          <a:off x="0" y="42333"/>
          <a:ext cx="17702742" cy="288000"/>
          <a:chOff x="0" y="38100"/>
          <a:chExt cx="17247507" cy="288000"/>
        </a:xfrm>
      </xdr:grpSpPr>
      <xdr:grpSp>
        <xdr:nvGrpSpPr>
          <xdr:cNvPr id="51" name="Agrupar 67">
            <a:extLst>
              <a:ext uri="{FF2B5EF4-FFF2-40B4-BE49-F238E27FC236}">
                <a16:creationId xmlns:a16="http://schemas.microsoft.com/office/drawing/2014/main" id="{9E554C51-CCEB-4BF6-AC66-575D0F8A01F4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52" name="Retângulo: Cantos Superiores Arredondados 69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9C7BAE1E-BD1E-4948-A92B-9F4F0A5A1D90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53" name="Retângulo: Cantos Superiores Arredondados 70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FA484752-6F90-4AAD-AB9B-640ABE9E3710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54" name="Retângulo: Cantos Superiores Arredondados 71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84CF958A-EDEA-4ECA-AE04-0A8D50D841B8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5" name="Retângulo: Cantos Superiores Arredondados 72">
              <a:extLst>
                <a:ext uri="{FF2B5EF4-FFF2-40B4-BE49-F238E27FC236}">
                  <a16:creationId xmlns:a16="http://schemas.microsoft.com/office/drawing/2014/main" id="{DBA7ED2A-63CC-4A98-A206-88412E57362D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6" name="Retângulo: Cantos Superiores Arredondados 73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862E8D11-D3BB-46BD-BA00-461C97D259FA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7" name="Retângulo: Cantos Superiores Arredondados 74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F0922799-90E0-4081-BF9B-F2A107E06F07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8" name="Retângulo: Cantos Superiores Arredondados 75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E1199D6E-EA70-48EE-A43B-C95E4F03609F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9" name="Retângulo: Cantos Superiores Arredondados 76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AF29782F-D4AD-491C-9302-3CE0A71F3831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60" name="Retângulo: Cantos Superiores Arredondados 77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F5C812B6-CE81-4E14-8285-360860100383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61" name="Retângulo: Cantos Superiores Arredondados 6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5A25636B-B350-401F-8037-8B4A9DC0974A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47625</xdr:rowOff>
    </xdr:from>
    <xdr:to>
      <xdr:col>1</xdr:col>
      <xdr:colOff>428624</xdr:colOff>
      <xdr:row>4</xdr:row>
      <xdr:rowOff>152399</xdr:rowOff>
    </xdr:to>
    <xdr:pic>
      <xdr:nvPicPr>
        <xdr:cNvPr id="42" name="Gráfico 41" descr="Calculador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24339A-1A4E-4E96-BBF9-E540B1A3F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57200" y="466725"/>
          <a:ext cx="295274" cy="295274"/>
        </a:xfrm>
        <a:prstGeom prst="rect">
          <a:avLst/>
        </a:prstGeom>
      </xdr:spPr>
    </xdr:pic>
    <xdr:clientData/>
  </xdr:twoCellAnchor>
  <xdr:twoCellAnchor editAs="oneCell">
    <xdr:from>
      <xdr:col>1</xdr:col>
      <xdr:colOff>885824</xdr:colOff>
      <xdr:row>3</xdr:row>
      <xdr:rowOff>47626</xdr:rowOff>
    </xdr:from>
    <xdr:to>
      <xdr:col>1</xdr:col>
      <xdr:colOff>1142997</xdr:colOff>
      <xdr:row>4</xdr:row>
      <xdr:rowOff>114299</xdr:rowOff>
    </xdr:to>
    <xdr:pic>
      <xdr:nvPicPr>
        <xdr:cNvPr id="43" name="Gráfico 42" descr="Adicionar">
          <a:extLst>
            <a:ext uri="{FF2B5EF4-FFF2-40B4-BE49-F238E27FC236}">
              <a16:creationId xmlns:a16="http://schemas.microsoft.com/office/drawing/2014/main" id="{786267C9-2250-41FC-94C0-4502A9FD2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209674" y="466726"/>
          <a:ext cx="257173" cy="2571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18</xdr:col>
      <xdr:colOff>0</xdr:colOff>
      <xdr:row>2</xdr:row>
      <xdr:rowOff>97500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id="{E6EB1F01-92A2-424A-B05F-7457929214A5}"/>
            </a:ext>
          </a:extLst>
        </xdr:cNvPr>
        <xdr:cNvGrpSpPr/>
      </xdr:nvGrpSpPr>
      <xdr:grpSpPr>
        <a:xfrm>
          <a:off x="0" y="42333"/>
          <a:ext cx="17875250" cy="288000"/>
          <a:chOff x="0" y="38100"/>
          <a:chExt cx="17247507" cy="288000"/>
        </a:xfrm>
      </xdr:grpSpPr>
      <xdr:grpSp>
        <xdr:nvGrpSpPr>
          <xdr:cNvPr id="48" name="Agrupar 47">
            <a:extLst>
              <a:ext uri="{FF2B5EF4-FFF2-40B4-BE49-F238E27FC236}">
                <a16:creationId xmlns:a16="http://schemas.microsoft.com/office/drawing/2014/main" id="{86014201-0B92-42EB-8B40-71D3CE7D80AE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50" name="Retângulo: Cantos Superiores Arredondados 49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BE9AC28A-D75A-4653-A45F-B743D03C1B4D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51" name="Retângulo: Cantos Superiores Arredondados 50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CA6D28F1-AFAE-4E87-BB8B-7CBBCF31DA3A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52" name="Retângulo: Cantos Superiores Arredondados 51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3770AC0D-B5E2-453B-BC34-0E70D20736A6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3" name="Retângulo: Cantos Superiores Arredondados 52">
              <a:extLst>
                <a:ext uri="{FF2B5EF4-FFF2-40B4-BE49-F238E27FC236}">
                  <a16:creationId xmlns:a16="http://schemas.microsoft.com/office/drawing/2014/main" id="{CA370876-5A35-4400-A47A-BA495BD6A538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4" name="Retângulo: Cantos Superiores Arredondados 53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902270F5-3541-4771-8386-30BC2E198ABB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5" name="Retângulo: Cantos Superiores Arredondados 54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B27D8842-5643-497B-A069-35EE924489D1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6" name="Retângulo: Cantos Superiores Arredondados 55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4026D854-7026-4CBC-BB9A-30B4FF55FD35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7" name="Retângulo: Cantos Superiores Arredondados 56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0AB5F573-4C8B-4B57-9352-F5C54E67D25E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58" name="Retângulo: Cantos Superiores Arredondados 57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91E3515A-5770-4541-8B35-A3B5D1A32615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49" name="Retângulo: Cantos Superiores Arredondados 4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7FC3A0CD-FF7D-42A1-A978-24202BF2695A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30</xdr:row>
      <xdr:rowOff>219075</xdr:rowOff>
    </xdr:from>
    <xdr:to>
      <xdr:col>18</xdr:col>
      <xdr:colOff>1590675</xdr:colOff>
      <xdr:row>34</xdr:row>
      <xdr:rowOff>28575</xdr:rowOff>
    </xdr:to>
    <xdr:pic>
      <xdr:nvPicPr>
        <xdr:cNvPr id="12" name="Imagem 1" descr="cid:image001.jpg@01D496BB.41BEC8A0">
          <a:extLst>
            <a:ext uri="{FF2B5EF4-FFF2-40B4-BE49-F238E27FC236}">
              <a16:creationId xmlns:a16="http://schemas.microsoft.com/office/drawing/2014/main" id="{DE955975-F347-4ED2-94D9-6ACAE2ABD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0" y="5924550"/>
          <a:ext cx="1562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18</xdr:col>
      <xdr:colOff>1800225</xdr:colOff>
      <xdr:row>2</xdr:row>
      <xdr:rowOff>107025</xdr:rowOff>
    </xdr:to>
    <xdr:grpSp>
      <xdr:nvGrpSpPr>
        <xdr:cNvPr id="27" name="Agrupar 26">
          <a:extLst>
            <a:ext uri="{FF2B5EF4-FFF2-40B4-BE49-F238E27FC236}">
              <a16:creationId xmlns:a16="http://schemas.microsoft.com/office/drawing/2014/main" id="{2A157DF5-7B98-4A3F-8E8C-2813B301C63D}"/>
            </a:ext>
          </a:extLst>
        </xdr:cNvPr>
        <xdr:cNvGrpSpPr/>
      </xdr:nvGrpSpPr>
      <xdr:grpSpPr>
        <a:xfrm>
          <a:off x="0" y="42333"/>
          <a:ext cx="17812808" cy="286942"/>
          <a:chOff x="0" y="38100"/>
          <a:chExt cx="17247507" cy="288000"/>
        </a:xfrm>
      </xdr:grpSpPr>
      <xdr:grpSp>
        <xdr:nvGrpSpPr>
          <xdr:cNvPr id="28" name="Agrupar 27">
            <a:extLst>
              <a:ext uri="{FF2B5EF4-FFF2-40B4-BE49-F238E27FC236}">
                <a16:creationId xmlns:a16="http://schemas.microsoft.com/office/drawing/2014/main" id="{B75A8C8F-9D1D-47EA-A3ED-33C1B9411045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30" name="Retângulo: Cantos Superiores Arredondados 29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DD17E25-CC5B-4D84-BC68-30AACE1D5DF2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1" name="Retângulo: Cantos Superiores Arredondados 30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7A1F0F8E-21DF-40B4-A460-C77BC414B2E7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2" name="Retângulo: Cantos Superiores Arredondados 31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8F690AC6-6FF2-4334-B4AD-7EC0E192E459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33" name="Retângulo: Cantos Superiores Arredondados 32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65078617-0197-4979-8FA8-88545335ABA6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34" name="Retângulo: Cantos Superiores Arredondados 33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FC67457E-4439-4FC9-A5DD-A6FE0CBCD5FD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35" name="Retângulo: Cantos Superiores Arredondados 34">
              <a:extLst>
                <a:ext uri="{FF2B5EF4-FFF2-40B4-BE49-F238E27FC236}">
                  <a16:creationId xmlns:a16="http://schemas.microsoft.com/office/drawing/2014/main" id="{03958E22-164A-41A9-9E2F-AC27DB595DC1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36" name="Retângulo: Cantos Superiores Arredondados 35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6C37D1AF-92F0-4596-B6DB-9578049D19BF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37" name="Retângulo: Cantos Superiores Arredondados 36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F8DB8D85-371A-4B76-8145-D5F723AC6904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38" name="Retângulo: Cantos Superiores Arredondados 37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44447A57-4063-4FA6-AFAE-872DB599AFD9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29" name="Retângulo: Cantos Superiores Arredondados 28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2C65000A-838B-4D3E-82C6-DC24906695FA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150132</xdr:colOff>
      <xdr:row>2</xdr:row>
      <xdr:rowOff>107025</xdr:rowOff>
    </xdr:to>
    <xdr:grpSp>
      <xdr:nvGrpSpPr>
        <xdr:cNvPr id="57" name="Agrupar 56">
          <a:extLst>
            <a:ext uri="{FF2B5EF4-FFF2-40B4-BE49-F238E27FC236}">
              <a16:creationId xmlns:a16="http://schemas.microsoft.com/office/drawing/2014/main" id="{13F507B7-159F-4BE1-9032-6BD54D68706F}"/>
            </a:ext>
          </a:extLst>
        </xdr:cNvPr>
        <xdr:cNvGrpSpPr/>
      </xdr:nvGrpSpPr>
      <xdr:grpSpPr>
        <a:xfrm>
          <a:off x="0" y="42333"/>
          <a:ext cx="17411549" cy="286942"/>
          <a:chOff x="0" y="38100"/>
          <a:chExt cx="17247507" cy="288000"/>
        </a:xfrm>
      </xdr:grpSpPr>
      <xdr:grpSp>
        <xdr:nvGrpSpPr>
          <xdr:cNvPr id="44" name="Agrupar 43">
            <a:extLst>
              <a:ext uri="{FF2B5EF4-FFF2-40B4-BE49-F238E27FC236}">
                <a16:creationId xmlns:a16="http://schemas.microsoft.com/office/drawing/2014/main" id="{C39B0964-C615-4933-97B2-F30278F1F8DA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45" name="Retângulo: Cantos Superiores Arredondados 44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D0B2E1A1-BCE0-44EE-858B-9A086D5BCD2E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46" name="Retângulo: Cantos Superiores Arredondados 4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D52A018D-AB0C-489D-92C6-407F77A03F20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47" name="Retângulo: Cantos Superiores Arredondados 46">
              <a:extLst>
                <a:ext uri="{FF2B5EF4-FFF2-40B4-BE49-F238E27FC236}">
                  <a16:creationId xmlns:a16="http://schemas.microsoft.com/office/drawing/2014/main" id="{DE541A30-83CD-42CC-BE45-82D0C4BF9879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48" name="Retângulo: Cantos Superiores Arredondados 47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82D4E427-3B8D-41F3-8423-4CA2EB252553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49" name="Retângulo: Cantos Superiores Arredondados 48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E54ACF28-027D-47CA-B8C1-26ED21CCD789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0" name="Retângulo: Cantos Superiores Arredondados 49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44FBE9BB-B3FC-433A-AAD4-BEF898A56A72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1" name="Retângulo: Cantos Superiores Arredondados 50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72F99CFC-7A29-4B12-9EE4-088C39C40B72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2" name="Retângulo: Cantos Superiores Arredondados 51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930249C2-920E-448F-BA8E-EFEFFD6FB2CB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53" name="Retângulo: Cantos Superiores Arredondados 52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66809910-653E-4863-8C4F-7A9F0817238C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55" name="Retângulo: Cantos Superiores Arredondados 5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1D91B75D-8259-46ED-94F2-384AA40BD923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  <xdr:twoCellAnchor>
    <xdr:from>
      <xdr:col>14</xdr:col>
      <xdr:colOff>247650</xdr:colOff>
      <xdr:row>30</xdr:row>
      <xdr:rowOff>95250</xdr:rowOff>
    </xdr:from>
    <xdr:to>
      <xdr:col>17</xdr:col>
      <xdr:colOff>571500</xdr:colOff>
      <xdr:row>33</xdr:row>
      <xdr:rowOff>238125</xdr:rowOff>
    </xdr:to>
    <xdr:pic>
      <xdr:nvPicPr>
        <xdr:cNvPr id="56" name="Imagem 1" descr="cid:image001.jpg@01D496BB.41BEC8A0">
          <a:extLst>
            <a:ext uri="{FF2B5EF4-FFF2-40B4-BE49-F238E27FC236}">
              <a16:creationId xmlns:a16="http://schemas.microsoft.com/office/drawing/2014/main" id="{FE7F7834-98DF-44D2-842B-76946F29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7175" y="6115050"/>
          <a:ext cx="1562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19</xdr:col>
      <xdr:colOff>416832</xdr:colOff>
      <xdr:row>2</xdr:row>
      <xdr:rowOff>107025</xdr:rowOff>
    </xdr:to>
    <xdr:grpSp>
      <xdr:nvGrpSpPr>
        <xdr:cNvPr id="36" name="Agrupar 35">
          <a:extLst>
            <a:ext uri="{FF2B5EF4-FFF2-40B4-BE49-F238E27FC236}">
              <a16:creationId xmlns:a16="http://schemas.microsoft.com/office/drawing/2014/main" id="{8DBD2566-5EDC-46D5-A053-6CAF4ECCA057}"/>
            </a:ext>
          </a:extLst>
        </xdr:cNvPr>
        <xdr:cNvGrpSpPr/>
      </xdr:nvGrpSpPr>
      <xdr:grpSpPr>
        <a:xfrm>
          <a:off x="0" y="42333"/>
          <a:ext cx="17307832" cy="286942"/>
          <a:chOff x="0" y="38100"/>
          <a:chExt cx="17247507" cy="288000"/>
        </a:xfrm>
      </xdr:grpSpPr>
      <xdr:sp macro="" textlink="">
        <xdr:nvSpPr>
          <xdr:cNvPr id="23" name="Retângulo: Cantos Superiores Arredondados 22">
            <a:extLst>
              <a:ext uri="{FF2B5EF4-FFF2-40B4-BE49-F238E27FC236}">
                <a16:creationId xmlns:a16="http://schemas.microsoft.com/office/drawing/2014/main" id="{BE5377C5-9300-473C-834F-FCC9C8CEB467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C2E2150-4A53-4FDD-BE39-6B65A56A1084}"/>
              </a:ext>
            </a:extLst>
          </xdr:cNvPr>
          <xdr:cNvSpPr/>
        </xdr:nvSpPr>
        <xdr:spPr>
          <a:xfrm>
            <a:off x="0" y="38100"/>
            <a:ext cx="191685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1521A96-C858-47E4-A6FA-F5181D8CBB27}"/>
              </a:ext>
            </a:extLst>
          </xdr:cNvPr>
          <xdr:cNvSpPr/>
        </xdr:nvSpPr>
        <xdr:spPr>
          <a:xfrm>
            <a:off x="1913138" y="38100"/>
            <a:ext cx="191685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7" name="Retângulo: Cantos Superiores Arredondados 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262A6AC9-CC76-4592-837D-F1A3D8C0E5FA}"/>
              </a:ext>
            </a:extLst>
          </xdr:cNvPr>
          <xdr:cNvSpPr/>
        </xdr:nvSpPr>
        <xdr:spPr>
          <a:xfrm>
            <a:off x="14385018" y="38100"/>
            <a:ext cx="143600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2022</a:t>
            </a:r>
            <a:endParaRPr lang="pt-BR">
              <a:effectLst/>
            </a:endParaRPr>
          </a:p>
        </xdr:txBody>
      </xdr:sp>
      <xdr:sp macro="" textlink="">
        <xdr:nvSpPr>
          <xdr:cNvPr id="28" name="Retângulo: Cantos Superiores Arredondados 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37133FC-765E-4582-B0DE-B40D417BA356}"/>
              </a:ext>
            </a:extLst>
          </xdr:cNvPr>
          <xdr:cNvSpPr/>
        </xdr:nvSpPr>
        <xdr:spPr>
          <a:xfrm>
            <a:off x="10558741" y="38100"/>
            <a:ext cx="191685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100">
              <a:effectLst/>
            </a:endParaRPr>
          </a:p>
        </xdr:txBody>
      </xdr:sp>
      <xdr:sp macro="" textlink="">
        <xdr:nvSpPr>
          <xdr:cNvPr id="29" name="Retângulo: Cantos Superiores Arredondados 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D5B665DF-4738-4873-AA37-75CA1900F0CD}"/>
              </a:ext>
            </a:extLst>
          </xdr:cNvPr>
          <xdr:cNvSpPr/>
        </xdr:nvSpPr>
        <xdr:spPr>
          <a:xfrm>
            <a:off x="3826277" y="38100"/>
            <a:ext cx="191685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30" name="Retângulo: Cantos Superiores Arredondados 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95E6088A-B241-4913-9DF4-65CD01BC85D8}"/>
              </a:ext>
            </a:extLst>
          </xdr:cNvPr>
          <xdr:cNvSpPr/>
        </xdr:nvSpPr>
        <xdr:spPr>
          <a:xfrm>
            <a:off x="12471879" y="38100"/>
            <a:ext cx="191685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 DE CONTINGÊNCIA</a:t>
            </a:r>
            <a:endParaRPr lang="pt-BR">
              <a:effectLst/>
            </a:endParaRPr>
          </a:p>
        </xdr:txBody>
      </xdr:sp>
      <xdr:sp macro="" textlink="">
        <xdr:nvSpPr>
          <xdr:cNvPr id="31" name="Retângulo: Cantos Superiores Arredondados 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596F0770-C03B-428C-8852-5C0F696306C7}"/>
              </a:ext>
            </a:extLst>
          </xdr:cNvPr>
          <xdr:cNvSpPr/>
        </xdr:nvSpPr>
        <xdr:spPr>
          <a:xfrm>
            <a:off x="9105647" y="38100"/>
            <a:ext cx="145680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32" name="Retângulo: Cantos Superiores Arredondados 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3E847035-3A9F-4BDD-8B1B-188D428F7F5C}"/>
              </a:ext>
            </a:extLst>
          </xdr:cNvPr>
          <xdr:cNvSpPr/>
        </xdr:nvSpPr>
        <xdr:spPr>
          <a:xfrm>
            <a:off x="7652554" y="38100"/>
            <a:ext cx="145680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33" name="Retângulo: Cantos Superiores Arredondados 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42B96957-E768-46A5-A036-D11076282EB6}"/>
              </a:ext>
            </a:extLst>
          </xdr:cNvPr>
          <xdr:cNvSpPr/>
        </xdr:nvSpPr>
        <xdr:spPr>
          <a:xfrm>
            <a:off x="5739415" y="38100"/>
            <a:ext cx="191685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- 2021</a:t>
            </a:r>
            <a:endParaRPr lang="pt-BR">
              <a:effectLst/>
            </a:endParaRPr>
          </a:p>
        </xdr:txBody>
      </xdr:sp>
    </xdr:grpSp>
    <xdr:clientData/>
  </xdr:twoCellAnchor>
  <xdr:twoCellAnchor>
    <xdr:from>
      <xdr:col>16</xdr:col>
      <xdr:colOff>466725</xdr:colOff>
      <xdr:row>32</xdr:row>
      <xdr:rowOff>38100</xdr:rowOff>
    </xdr:from>
    <xdr:to>
      <xdr:col>19</xdr:col>
      <xdr:colOff>200025</xdr:colOff>
      <xdr:row>36</xdr:row>
      <xdr:rowOff>38100</xdr:rowOff>
    </xdr:to>
    <xdr:pic>
      <xdr:nvPicPr>
        <xdr:cNvPr id="34" name="Imagem 1" descr="cid:image001.jpg@01D496BB.41BEC8A0">
          <a:extLst>
            <a:ext uri="{FF2B5EF4-FFF2-40B4-BE49-F238E27FC236}">
              <a16:creationId xmlns:a16="http://schemas.microsoft.com/office/drawing/2014/main" id="{923574C1-84B2-4283-B28D-06B22FE50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0" y="6343650"/>
          <a:ext cx="1562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57149</xdr:rowOff>
    </xdr:from>
    <xdr:to>
      <xdr:col>1</xdr:col>
      <xdr:colOff>114300</xdr:colOff>
      <xdr:row>4</xdr:row>
      <xdr:rowOff>152399</xdr:rowOff>
    </xdr:to>
    <xdr:pic>
      <xdr:nvPicPr>
        <xdr:cNvPr id="21" name="Gráfico 20" descr="Informaçõ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E540E-C966-4B20-9C11-8B3D8847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38150" y="476249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</xdr:colOff>
      <xdr:row>3</xdr:row>
      <xdr:rowOff>38100</xdr:rowOff>
    </xdr:from>
    <xdr:to>
      <xdr:col>2</xdr:col>
      <xdr:colOff>352424</xdr:colOff>
      <xdr:row>4</xdr:row>
      <xdr:rowOff>171450</xdr:rowOff>
    </xdr:to>
    <xdr:pic>
      <xdr:nvPicPr>
        <xdr:cNvPr id="22" name="Gráfico 21" descr="Calendário diário">
          <a:extLst>
            <a:ext uri="{FF2B5EF4-FFF2-40B4-BE49-F238E27FC236}">
              <a16:creationId xmlns:a16="http://schemas.microsoft.com/office/drawing/2014/main" id="{77D2F382-029A-4F9A-BCE7-A1130B3C4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247774" y="457200"/>
          <a:ext cx="323850" cy="323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27</xdr:col>
      <xdr:colOff>476250</xdr:colOff>
      <xdr:row>2</xdr:row>
      <xdr:rowOff>97500</xdr:rowOff>
    </xdr:to>
    <xdr:grpSp>
      <xdr:nvGrpSpPr>
        <xdr:cNvPr id="60" name="Agrupar 59">
          <a:extLst>
            <a:ext uri="{FF2B5EF4-FFF2-40B4-BE49-F238E27FC236}">
              <a16:creationId xmlns:a16="http://schemas.microsoft.com/office/drawing/2014/main" id="{6A12039E-B251-495C-B9A8-C44F10924442}"/>
            </a:ext>
          </a:extLst>
        </xdr:cNvPr>
        <xdr:cNvGrpSpPr/>
      </xdr:nvGrpSpPr>
      <xdr:grpSpPr>
        <a:xfrm>
          <a:off x="0" y="38100"/>
          <a:ext cx="17240250" cy="288000"/>
          <a:chOff x="0" y="38100"/>
          <a:chExt cx="17247507" cy="288000"/>
        </a:xfrm>
      </xdr:grpSpPr>
      <xdr:grpSp>
        <xdr:nvGrpSpPr>
          <xdr:cNvPr id="61" name="Agrupar 60">
            <a:extLst>
              <a:ext uri="{FF2B5EF4-FFF2-40B4-BE49-F238E27FC236}">
                <a16:creationId xmlns:a16="http://schemas.microsoft.com/office/drawing/2014/main" id="{105AB3C0-320A-41E7-BF71-1F1CD2EC6C88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63" name="Retângulo: Cantos Superiores Arredondados 62">
              <a:extLst>
                <a:ext uri="{FF2B5EF4-FFF2-40B4-BE49-F238E27FC236}">
                  <a16:creationId xmlns:a16="http://schemas.microsoft.com/office/drawing/2014/main" id="{EA69B800-F94A-4BF2-815F-B1796CE967CE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64" name="Retângulo: Cantos Superiores Arredondados 63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3712908B-EE02-4905-9C78-DBA01EC18194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65" name="Retângulo: Cantos Superiores Arredondados 64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AF63C9A9-437F-4A91-99F8-30F03BE76509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66" name="Retângulo: Cantos Superiores Arredondados 65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4D1253CE-E25A-44D8-8CBE-B9F3D3BEFA2F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67" name="Retângulo: Cantos Superiores Arredondados 66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9A1AE185-2939-4209-A6D9-5DB8EF3B5D41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68" name="Retângulo: Cantos Superiores Arredondados 67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C54F6C1C-57FE-4D41-AA39-E7D57F1F1E9F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69" name="Retângulo: Cantos Superiores Arredondados 68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F4D72EFC-BF51-4B80-B578-19DD2618E956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70" name="Retângulo: Cantos Superiores Arredondados 69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0446CA84-0773-4589-9F76-20E44DBB7700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71" name="Retângulo: Cantos Superiores Arredondados 70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C2277B8E-C994-4885-9B4B-E17C84DB08F3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62" name="Retângulo: Cantos Superiores Arredondados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279F793-B5A0-4DC5-882E-FCD6EA1A8E44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3</xdr:row>
      <xdr:rowOff>19050</xdr:rowOff>
    </xdr:from>
    <xdr:to>
      <xdr:col>2</xdr:col>
      <xdr:colOff>342900</xdr:colOff>
      <xdr:row>4</xdr:row>
      <xdr:rowOff>190500</xdr:rowOff>
    </xdr:to>
    <xdr:pic>
      <xdr:nvPicPr>
        <xdr:cNvPr id="13" name="Gráfico 12" descr="Gráfico de barr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63E536-807D-4FBE-A406-5DBE875CA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19200" y="43815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57151</xdr:rowOff>
    </xdr:from>
    <xdr:to>
      <xdr:col>1</xdr:col>
      <xdr:colOff>323849</xdr:colOff>
      <xdr:row>4</xdr:row>
      <xdr:rowOff>161925</xdr:rowOff>
    </xdr:to>
    <xdr:pic>
      <xdr:nvPicPr>
        <xdr:cNvPr id="14" name="Gráfico 13" descr="Calculadora">
          <a:extLst>
            <a:ext uri="{FF2B5EF4-FFF2-40B4-BE49-F238E27FC236}">
              <a16:creationId xmlns:a16="http://schemas.microsoft.com/office/drawing/2014/main" id="{72907527-F1BD-4012-A8F8-98568C5C2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66725" y="476251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19</xdr:col>
      <xdr:colOff>800100</xdr:colOff>
      <xdr:row>2</xdr:row>
      <xdr:rowOff>97500</xdr:rowOff>
    </xdr:to>
    <xdr:grpSp>
      <xdr:nvGrpSpPr>
        <xdr:cNvPr id="412" name="Agrupar 411">
          <a:extLst>
            <a:ext uri="{FF2B5EF4-FFF2-40B4-BE49-F238E27FC236}">
              <a16:creationId xmlns:a16="http://schemas.microsoft.com/office/drawing/2014/main" id="{2E1C7FB8-9241-4207-86F7-B0138BF77EE1}"/>
            </a:ext>
          </a:extLst>
        </xdr:cNvPr>
        <xdr:cNvGrpSpPr/>
      </xdr:nvGrpSpPr>
      <xdr:grpSpPr>
        <a:xfrm>
          <a:off x="0" y="38100"/>
          <a:ext cx="17221200" cy="288000"/>
          <a:chOff x="0" y="38100"/>
          <a:chExt cx="17247507" cy="288000"/>
        </a:xfrm>
      </xdr:grpSpPr>
      <xdr:grpSp>
        <xdr:nvGrpSpPr>
          <xdr:cNvPr id="413" name="Agrupar 412">
            <a:extLst>
              <a:ext uri="{FF2B5EF4-FFF2-40B4-BE49-F238E27FC236}">
                <a16:creationId xmlns:a16="http://schemas.microsoft.com/office/drawing/2014/main" id="{F8AC4738-A7FD-406B-9C93-CD36C85E4A0E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415" name="Retângulo: Cantos Superiores Arredondados 414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97A69A95-401B-42DB-8555-C6832E899BFC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416" name="Retângulo: Cantos Superiores Arredondados 415">
              <a:extLst>
                <a:ext uri="{FF2B5EF4-FFF2-40B4-BE49-F238E27FC236}">
                  <a16:creationId xmlns:a16="http://schemas.microsoft.com/office/drawing/2014/main" id="{0DBEC8FD-08F1-4981-B14F-6348ECE4EF73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417" name="Retângulo: Cantos Superiores Arredondados 416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9D1956EB-21C9-4CB5-B833-23EB3CE2519A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418" name="Retângulo: Cantos Superiores Arredondados 417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1A781D05-62F3-40B0-AFC7-871BE031FF7A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419" name="Retângulo: Cantos Superiores Arredondados 418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3F73000F-1F21-448F-883D-08CE1A233313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420" name="Retângulo: Cantos Superiores Arredondados 419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A2F5B156-DB61-4957-A888-D845601461A6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421" name="Retângulo: Cantos Superiores Arredondados 420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9F936737-0AB6-4E60-AB51-366048C5041E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422" name="Retângulo: Cantos Superiores Arredondados 421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7A079787-4E1B-4291-A6C0-8A0A488A2C07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423" name="Retângulo: Cantos Superiores Arredondados 422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D07E0EB6-DD6D-408B-925B-7EF28F98BD6E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414" name="Retângulo: Cantos Superiores Arredondados 41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F6C43831-F7B6-4AF2-AAAD-1D74330E20B3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3</xdr:row>
      <xdr:rowOff>38100</xdr:rowOff>
    </xdr:from>
    <xdr:to>
      <xdr:col>2</xdr:col>
      <xdr:colOff>352425</xdr:colOff>
      <xdr:row>4</xdr:row>
      <xdr:rowOff>209550</xdr:rowOff>
    </xdr:to>
    <xdr:pic>
      <xdr:nvPicPr>
        <xdr:cNvPr id="13" name="Gráfico 12" descr="Gráfico de barras">
          <a:extLst>
            <a:ext uri="{FF2B5EF4-FFF2-40B4-BE49-F238E27FC236}">
              <a16:creationId xmlns:a16="http://schemas.microsoft.com/office/drawing/2014/main" id="{4F4AD5A2-7E94-4F65-9EB8-5BA7C3875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9675" y="45720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</xdr:row>
      <xdr:rowOff>85726</xdr:rowOff>
    </xdr:from>
    <xdr:to>
      <xdr:col>1</xdr:col>
      <xdr:colOff>104774</xdr:colOff>
      <xdr:row>4</xdr:row>
      <xdr:rowOff>190500</xdr:rowOff>
    </xdr:to>
    <xdr:pic>
      <xdr:nvPicPr>
        <xdr:cNvPr id="14" name="Gráfico 13" descr="Calculador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29071A-EACC-4597-A5FF-E5E5E1915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19100" y="504826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8</xdr:row>
      <xdr:rowOff>57149</xdr:rowOff>
    </xdr:from>
    <xdr:to>
      <xdr:col>16</xdr:col>
      <xdr:colOff>114300</xdr:colOff>
      <xdr:row>29</xdr:row>
      <xdr:rowOff>171450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5380AD4-9CC6-462F-BC1F-1FEC773A76B4}"/>
            </a:ext>
            <a:ext uri="{147F2762-F138-4A5C-976F-8EAC2B608ADB}">
              <a16:predDERef xmlns:a16="http://schemas.microsoft.com/office/drawing/2014/main" pred="{7BEE9555-8556-4A40-87B0-3CC001C86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27</xdr:col>
      <xdr:colOff>485775</xdr:colOff>
      <xdr:row>2</xdr:row>
      <xdr:rowOff>97500</xdr:rowOff>
    </xdr:to>
    <xdr:grpSp>
      <xdr:nvGrpSpPr>
        <xdr:cNvPr id="69" name="Agrupar 68">
          <a:extLst>
            <a:ext uri="{FF2B5EF4-FFF2-40B4-BE49-F238E27FC236}">
              <a16:creationId xmlns:a16="http://schemas.microsoft.com/office/drawing/2014/main" id="{C33D6AA8-B548-4EEA-B908-2D78760A731B}"/>
            </a:ext>
          </a:extLst>
        </xdr:cNvPr>
        <xdr:cNvGrpSpPr/>
      </xdr:nvGrpSpPr>
      <xdr:grpSpPr>
        <a:xfrm>
          <a:off x="0" y="38100"/>
          <a:ext cx="17230725" cy="288000"/>
          <a:chOff x="0" y="38100"/>
          <a:chExt cx="17247507" cy="288000"/>
        </a:xfrm>
      </xdr:grpSpPr>
      <xdr:grpSp>
        <xdr:nvGrpSpPr>
          <xdr:cNvPr id="70" name="Agrupar 69">
            <a:extLst>
              <a:ext uri="{FF2B5EF4-FFF2-40B4-BE49-F238E27FC236}">
                <a16:creationId xmlns:a16="http://schemas.microsoft.com/office/drawing/2014/main" id="{508B2134-1299-4841-B968-2F5AEAB74F90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72" name="Retângulo: Cantos Superiores Arredondados 71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7FE2727F-381A-42C0-A4FC-27EE9F9ED2BD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3" name="Retângulo: Cantos Superiores Arredondados 72">
              <a:extLst>
                <a:ext uri="{FF2B5EF4-FFF2-40B4-BE49-F238E27FC236}">
                  <a16:creationId xmlns:a16="http://schemas.microsoft.com/office/drawing/2014/main" id="{3DD60BC7-3789-43C8-BE90-424A31AC0ACA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4" name="Retângulo: Cantos Superiores Arredondados 73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78BF7F35-4568-4451-9E7F-58AA74A3B57B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75" name="Retângulo: Cantos Superiores Arredondados 74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570BD1DA-B62F-4159-84B4-7EFE242B149F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76" name="Retângulo: Cantos Superiores Arredondados 75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B3CE907C-4684-47D6-87E2-28DC2CBE53E4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77" name="Retângulo: Cantos Superiores Arredondados 76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A68C06E5-85C5-4E34-A761-D84B67DFEBC7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78" name="Retângulo: Cantos Superiores Arredondados 77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7E10C289-0BC4-47EB-95AF-81FF685439B9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79" name="Retângulo: Cantos Superiores Arredondados 78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E4BD3D20-468E-432B-839E-274CBBCFC185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80" name="Retângulo: Cantos Superiores Arredondados 79">
              <a:hlinkClick xmlns:r="http://schemas.openxmlformats.org/officeDocument/2006/relationships" r:id="rId14"/>
              <a:extLst>
                <a:ext uri="{FF2B5EF4-FFF2-40B4-BE49-F238E27FC236}">
                  <a16:creationId xmlns:a16="http://schemas.microsoft.com/office/drawing/2014/main" id="{775F1E20-C11A-41D7-BE54-9A44E2DFD598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71" name="Retângulo: Cantos Superiores Arredondados 7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102C2685-E4A8-4C02-8A87-51B0EFF5A775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3</xdr:row>
      <xdr:rowOff>28575</xdr:rowOff>
    </xdr:from>
    <xdr:to>
      <xdr:col>1</xdr:col>
      <xdr:colOff>1333500</xdr:colOff>
      <xdr:row>4</xdr:row>
      <xdr:rowOff>200025</xdr:rowOff>
    </xdr:to>
    <xdr:pic>
      <xdr:nvPicPr>
        <xdr:cNvPr id="67" name="Gráfico 66" descr="Gráfico de barr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6ECE3E-1926-45D6-9244-DD4813A46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19200" y="447675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3</xdr:row>
      <xdr:rowOff>66676</xdr:rowOff>
    </xdr:from>
    <xdr:to>
      <xdr:col>1</xdr:col>
      <xdr:colOff>495299</xdr:colOff>
      <xdr:row>4</xdr:row>
      <xdr:rowOff>171450</xdr:rowOff>
    </xdr:to>
    <xdr:pic>
      <xdr:nvPicPr>
        <xdr:cNvPr id="68" name="Gráfico 67" descr="Calculadora">
          <a:extLst>
            <a:ext uri="{FF2B5EF4-FFF2-40B4-BE49-F238E27FC236}">
              <a16:creationId xmlns:a16="http://schemas.microsoft.com/office/drawing/2014/main" id="{D44BC404-76E7-4BAF-A571-D9A59CEA8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47675" y="485776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18</xdr:col>
      <xdr:colOff>476250</xdr:colOff>
      <xdr:row>2</xdr:row>
      <xdr:rowOff>97500</xdr:rowOff>
    </xdr:to>
    <xdr:grpSp>
      <xdr:nvGrpSpPr>
        <xdr:cNvPr id="78" name="Agrupar 77">
          <a:extLst>
            <a:ext uri="{FF2B5EF4-FFF2-40B4-BE49-F238E27FC236}">
              <a16:creationId xmlns:a16="http://schemas.microsoft.com/office/drawing/2014/main" id="{199D63EA-F692-4067-A1DE-E3AA39FFF6D5}"/>
            </a:ext>
          </a:extLst>
        </xdr:cNvPr>
        <xdr:cNvGrpSpPr/>
      </xdr:nvGrpSpPr>
      <xdr:grpSpPr>
        <a:xfrm>
          <a:off x="0" y="38100"/>
          <a:ext cx="17230725" cy="288000"/>
          <a:chOff x="0" y="38100"/>
          <a:chExt cx="17247507" cy="288000"/>
        </a:xfrm>
      </xdr:grpSpPr>
      <xdr:grpSp>
        <xdr:nvGrpSpPr>
          <xdr:cNvPr id="79" name="Agrupar 78">
            <a:extLst>
              <a:ext uri="{FF2B5EF4-FFF2-40B4-BE49-F238E27FC236}">
                <a16:creationId xmlns:a16="http://schemas.microsoft.com/office/drawing/2014/main" id="{A6818307-70B5-4FDC-BD4F-2E621648CA8C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81" name="Retângulo: Cantos Superiores Arredondados 80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2681FCB4-8A6B-43AD-B2BC-51F33C5CB97F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82" name="Retângulo: Cantos Superiores Arredondados 81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40BA312B-F72D-4267-A08A-3FC79BC19676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</a:p>
          </xdr:txBody>
        </xdr:sp>
        <xdr:sp macro="" textlink="">
          <xdr:nvSpPr>
            <xdr:cNvPr id="83" name="Retângulo: Cantos Superiores Arredondados 82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984BFA24-4930-4933-BB0F-0FBAAE757BC0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84" name="Retângulo: Cantos Superiores Arredondados 83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972CAA0A-5BF5-4B4D-8778-58D823EEB7CF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85" name="Retângulo: Cantos Superiores Arredondados 84">
              <a:extLst>
                <a:ext uri="{FF2B5EF4-FFF2-40B4-BE49-F238E27FC236}">
                  <a16:creationId xmlns:a16="http://schemas.microsoft.com/office/drawing/2014/main" id="{A715CBAE-0239-4379-AB75-BABFA7CD4E1C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86" name="Retângulo: Cantos Superiores Arredondados 85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C7F0AA2C-038F-40FE-BADE-DB6D6F5AB203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87" name="Retângulo: Cantos Superiores Arredondados 86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133C37CE-A9F3-4174-A309-5F1A06E0F7C7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88" name="Retângulo: Cantos Superiores Arredondados 87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B531C80D-9295-477A-93F2-140832DF3E85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89" name="Retângulo: Cantos Superiores Arredondados 88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46C7B9BE-FDFC-4B04-991A-A94266B3BA31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80" name="Retângulo: Cantos Superiores Arredondados 7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45D78026-683E-445B-879E-5EA2F29BD6D0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19050</xdr:rowOff>
    </xdr:from>
    <xdr:to>
      <xdr:col>2</xdr:col>
      <xdr:colOff>361950</xdr:colOff>
      <xdr:row>4</xdr:row>
      <xdr:rowOff>190500</xdr:rowOff>
    </xdr:to>
    <xdr:pic>
      <xdr:nvPicPr>
        <xdr:cNvPr id="3" name="Gráfico 2" descr="Gráfico de barras">
          <a:extLst>
            <a:ext uri="{FF2B5EF4-FFF2-40B4-BE49-F238E27FC236}">
              <a16:creationId xmlns:a16="http://schemas.microsoft.com/office/drawing/2014/main" id="{6FC8BF09-1BD4-4BCF-8FD5-45CBFF05C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19200" y="43815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3</xdr:row>
      <xdr:rowOff>47626</xdr:rowOff>
    </xdr:from>
    <xdr:to>
      <xdr:col>1</xdr:col>
      <xdr:colOff>123824</xdr:colOff>
      <xdr:row>4</xdr:row>
      <xdr:rowOff>152400</xdr:rowOff>
    </xdr:to>
    <xdr:pic>
      <xdr:nvPicPr>
        <xdr:cNvPr id="4" name="Gráfico 3" descr="Calculador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D150DC-88D1-49B1-A304-55C1803A6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38150" y="466726"/>
          <a:ext cx="295274" cy="295274"/>
        </a:xfrm>
        <a:prstGeom prst="rect">
          <a:avLst/>
        </a:prstGeom>
      </xdr:spPr>
    </xdr:pic>
    <xdr:clientData/>
  </xdr:twoCellAnchor>
  <xdr:twoCellAnchor>
    <xdr:from>
      <xdr:col>2</xdr:col>
      <xdr:colOff>542926</xdr:colOff>
      <xdr:row>10</xdr:row>
      <xdr:rowOff>57149</xdr:rowOff>
    </xdr:from>
    <xdr:to>
      <xdr:col>13</xdr:col>
      <xdr:colOff>200025</xdr:colOff>
      <xdr:row>28</xdr:row>
      <xdr:rowOff>85724</xdr:rowOff>
    </xdr:to>
    <xdr:graphicFrame macro="">
      <xdr:nvGraphicFramePr>
        <xdr:cNvPr id="13" name="Gráfico 3">
          <a:extLst>
            <a:ext uri="{FF2B5EF4-FFF2-40B4-BE49-F238E27FC236}">
              <a16:creationId xmlns:a16="http://schemas.microsoft.com/office/drawing/2014/main" id="{AB6C0AE0-423A-4D05-9272-BCA11C3D6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24</xdr:col>
      <xdr:colOff>809625</xdr:colOff>
      <xdr:row>2</xdr:row>
      <xdr:rowOff>97500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F7B5BEDD-BB6F-49FB-B5FE-227C0B493792}"/>
            </a:ext>
          </a:extLst>
        </xdr:cNvPr>
        <xdr:cNvGrpSpPr/>
      </xdr:nvGrpSpPr>
      <xdr:grpSpPr>
        <a:xfrm>
          <a:off x="0" y="38100"/>
          <a:ext cx="17230725" cy="288000"/>
          <a:chOff x="0" y="38100"/>
          <a:chExt cx="17247507" cy="288000"/>
        </a:xfrm>
      </xdr:grpSpPr>
      <xdr:grpSp>
        <xdr:nvGrpSpPr>
          <xdr:cNvPr id="49" name="Agrupar 48">
            <a:extLst>
              <a:ext uri="{FF2B5EF4-FFF2-40B4-BE49-F238E27FC236}">
                <a16:creationId xmlns:a16="http://schemas.microsoft.com/office/drawing/2014/main" id="{B3054527-7DDE-4ED6-A5EA-54E7E9B97CDA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51" name="Retângulo: Cantos Superiores Arredondados 50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94995060-C879-47C5-8168-14EBEF8EE764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52" name="Retângulo: Cantos Superiores Arredondados 51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FE2C9DE9-6154-48C9-BAC4-85E0476F89CF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ÍNDICES ECONÔMICOS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53" name="Retângulo: Cantos Superiores Arredondados 52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C0BBB66C-E0CF-4389-8E71-CDBB15F98D1B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4" name="Retângulo: Cantos Superiores Arredondados 53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14563BDB-F1AA-4672-9EC1-0360EFBD7D90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5" name="Retângulo: Cantos Superiores Arredondados 54">
              <a:extLst>
                <a:ext uri="{FF2B5EF4-FFF2-40B4-BE49-F238E27FC236}">
                  <a16:creationId xmlns:a16="http://schemas.microsoft.com/office/drawing/2014/main" id="{41BEBEB8-E14B-403B-BDD1-680E06E9725C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6" name="Retângulo: Cantos Superiores Arredondados 55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751D4B08-27F5-4A00-884E-AB56A5128E98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7" name="Retângulo: Cantos Superiores Arredondados 56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3784C9B7-5E10-4BFD-9F0E-78913A69A43D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8" name="Retângulo: Cantos Superiores Arredondados 57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CF5A19EB-312F-4C79-87AC-2B2AA9FBFAEF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59" name="Retângulo: Cantos Superiores Arredondados 58">
              <a:hlinkClick xmlns:r="http://schemas.openxmlformats.org/officeDocument/2006/relationships" r:id="rId14"/>
              <a:extLst>
                <a:ext uri="{FF2B5EF4-FFF2-40B4-BE49-F238E27FC236}">
                  <a16:creationId xmlns:a16="http://schemas.microsoft.com/office/drawing/2014/main" id="{37157B6E-483F-4B1E-A21A-8809E31E69D8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50" name="Retângulo: Cantos Superiores Arredondados 4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B272B613-2160-4F7F-BCD9-EC54C49D562A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20</xdr:col>
      <xdr:colOff>38100</xdr:colOff>
      <xdr:row>2</xdr:row>
      <xdr:rowOff>107025</xdr:rowOff>
    </xdr:to>
    <xdr:grpSp>
      <xdr:nvGrpSpPr>
        <xdr:cNvPr id="56" name="Agrupar 55">
          <a:extLst>
            <a:ext uri="{FF2B5EF4-FFF2-40B4-BE49-F238E27FC236}">
              <a16:creationId xmlns:a16="http://schemas.microsoft.com/office/drawing/2014/main" id="{59AE1AEA-A916-454E-9389-CAD47444D976}"/>
            </a:ext>
          </a:extLst>
        </xdr:cNvPr>
        <xdr:cNvGrpSpPr/>
      </xdr:nvGrpSpPr>
      <xdr:grpSpPr>
        <a:xfrm>
          <a:off x="0" y="42333"/>
          <a:ext cx="17293167" cy="286942"/>
          <a:chOff x="0" y="38100"/>
          <a:chExt cx="17247507" cy="288000"/>
        </a:xfrm>
      </xdr:grpSpPr>
      <xdr:grpSp>
        <xdr:nvGrpSpPr>
          <xdr:cNvPr id="57" name="Agrupar 56">
            <a:extLst>
              <a:ext uri="{FF2B5EF4-FFF2-40B4-BE49-F238E27FC236}">
                <a16:creationId xmlns:a16="http://schemas.microsoft.com/office/drawing/2014/main" id="{6C55993A-2A1E-4198-BA4A-A70110A80772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59" name="Retângulo: Cantos Superiores Arredondados 5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09E467FB-A1D2-4938-BF31-F30DF07A6D86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60" name="Retângulo: Cantos Superiores Arredondados 59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8D1F7F5-C362-4A81-AE01-E6768A70A75E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61" name="Retângulo: Cantos Superiores Arredondados 60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87275D73-C922-4BC5-BB94-C48B369A0170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62" name="Retângulo: Cantos Superiores Arredondados 61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75E84481-D8E6-4ABA-BA24-601CE8484012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63" name="Retângulo: Cantos Superiores Arredondados 62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BE3B52B1-5F9D-4540-96D6-1A560EE01C2C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64" name="Retângulo: Cantos Superiores Arredondados 63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F980E292-92FE-4077-B2B5-FCCB45C7234B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65" name="Retângulo: Cantos Superiores Arredondados 64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32609E28-30B0-4B82-B9C3-46713818ED3B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66" name="Retângulo: Cantos Superiores Arredondados 65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55FC595D-43C3-444F-80AE-3A1861038C2F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67" name="Retângulo: Cantos Superiores Arredondados 66">
              <a:extLst>
                <a:ext uri="{FF2B5EF4-FFF2-40B4-BE49-F238E27FC236}">
                  <a16:creationId xmlns:a16="http://schemas.microsoft.com/office/drawing/2014/main" id="{2976307F-17D2-471A-8D74-8CAB2D96923E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58" name="Retângulo: Cantos Superiores Arredondados 57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99150384-1693-4245-A65A-3108BF610FF7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200025</xdr:colOff>
      <xdr:row>2</xdr:row>
      <xdr:rowOff>107025</xdr:rowOff>
    </xdr:to>
    <xdr:grpSp>
      <xdr:nvGrpSpPr>
        <xdr:cNvPr id="44" name="Agrupar 43">
          <a:extLst>
            <a:ext uri="{FF2B5EF4-FFF2-40B4-BE49-F238E27FC236}">
              <a16:creationId xmlns:a16="http://schemas.microsoft.com/office/drawing/2014/main" id="{926FDC34-12CE-4986-9438-46CBFED5C4CA}"/>
            </a:ext>
          </a:extLst>
        </xdr:cNvPr>
        <xdr:cNvGrpSpPr/>
      </xdr:nvGrpSpPr>
      <xdr:grpSpPr>
        <a:xfrm>
          <a:off x="0" y="42333"/>
          <a:ext cx="17673108" cy="286942"/>
          <a:chOff x="0" y="38100"/>
          <a:chExt cx="17247507" cy="288000"/>
        </a:xfrm>
      </xdr:grpSpPr>
      <xdr:grpSp>
        <xdr:nvGrpSpPr>
          <xdr:cNvPr id="45" name="Agrupar 44">
            <a:extLst>
              <a:ext uri="{FF2B5EF4-FFF2-40B4-BE49-F238E27FC236}">
                <a16:creationId xmlns:a16="http://schemas.microsoft.com/office/drawing/2014/main" id="{3E80CFF3-288D-4499-B95E-F2F9B7058C44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47" name="Retângulo: Cantos Superiores Arredondados 46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6E86564F-F49C-47EC-A3D7-3AC13BD47292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48" name="Retângulo: Cantos Superiores Arredondados 47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3ADBC8BB-9694-4B30-9520-452C64A877D3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49" name="Retângulo: Cantos Superiores Arredondados 48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7B6643BC-C3D6-44EB-A28B-51C1CD075B7A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0" name="Retângulo: Cantos Superiores Arredondados 4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2D09142D-8DD5-4CBB-958F-4E59C11B1251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1" name="Retângulo: Cantos Superiores Arredondados 50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9F52D8F3-0001-40F6-B4DD-1CEE15411F20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2" name="Retângulo: Cantos Superiores Arredondados 51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F774B8DA-284F-4DB2-87B9-7459B30FA543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4" name="Retângulo: Cantos Superiores Arredondados 53">
              <a:extLst>
                <a:ext uri="{FF2B5EF4-FFF2-40B4-BE49-F238E27FC236}">
                  <a16:creationId xmlns:a16="http://schemas.microsoft.com/office/drawing/2014/main" id="{0671BB93-BD84-4567-9639-94E243819F37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55" name="Retângulo: Cantos Superiores Arredondados 54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7D7F1CA2-1AA8-42C5-8144-7E3707C173C2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3" name="Retângulo: Cantos Superiores Arredondados 52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AA64F8EC-D7CA-4996-B335-58738A0564C6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</xdr:grpSp>
      <xdr:sp macro="" textlink="">
        <xdr:nvSpPr>
          <xdr:cNvPr id="46" name="Retângulo: Cantos Superiores Arredondados 4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32D58DA-E6D9-4AAA-85B4-E084B1894159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3</xdr:row>
      <xdr:rowOff>0</xdr:rowOff>
    </xdr:from>
    <xdr:to>
      <xdr:col>1</xdr:col>
      <xdr:colOff>952500</xdr:colOff>
      <xdr:row>4</xdr:row>
      <xdr:rowOff>171450</xdr:rowOff>
    </xdr:to>
    <xdr:pic>
      <xdr:nvPicPr>
        <xdr:cNvPr id="38" name="Gráfico 37" descr="Gráfico de barr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7EA5BB-4562-4776-B351-AD6D9B8D1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0150" y="41910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</xdr:row>
      <xdr:rowOff>19051</xdr:rowOff>
    </xdr:from>
    <xdr:to>
      <xdr:col>1</xdr:col>
      <xdr:colOff>104774</xdr:colOff>
      <xdr:row>4</xdr:row>
      <xdr:rowOff>123825</xdr:rowOff>
    </xdr:to>
    <xdr:pic>
      <xdr:nvPicPr>
        <xdr:cNvPr id="39" name="Gráfico 38" descr="Calculadora">
          <a:extLst>
            <a:ext uri="{FF2B5EF4-FFF2-40B4-BE49-F238E27FC236}">
              <a16:creationId xmlns:a16="http://schemas.microsoft.com/office/drawing/2014/main" id="{A6360DCB-88B9-41CB-9D23-AA1B21731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19100" y="438151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12</xdr:col>
      <xdr:colOff>1419225</xdr:colOff>
      <xdr:row>2</xdr:row>
      <xdr:rowOff>97500</xdr:rowOff>
    </xdr:to>
    <xdr:grpSp>
      <xdr:nvGrpSpPr>
        <xdr:cNvPr id="41" name="Agrupar 40">
          <a:extLst>
            <a:ext uri="{FF2B5EF4-FFF2-40B4-BE49-F238E27FC236}">
              <a16:creationId xmlns:a16="http://schemas.microsoft.com/office/drawing/2014/main" id="{DBA09B1D-B680-4122-957F-518734594222}"/>
            </a:ext>
          </a:extLst>
        </xdr:cNvPr>
        <xdr:cNvGrpSpPr/>
      </xdr:nvGrpSpPr>
      <xdr:grpSpPr>
        <a:xfrm>
          <a:off x="0" y="42333"/>
          <a:ext cx="17898533" cy="288000"/>
          <a:chOff x="0" y="38100"/>
          <a:chExt cx="17247507" cy="288000"/>
        </a:xfrm>
      </xdr:grpSpPr>
      <xdr:grpSp>
        <xdr:nvGrpSpPr>
          <xdr:cNvPr id="42" name="Agrupar 41">
            <a:extLst>
              <a:ext uri="{FF2B5EF4-FFF2-40B4-BE49-F238E27FC236}">
                <a16:creationId xmlns:a16="http://schemas.microsoft.com/office/drawing/2014/main" id="{069D9178-0BB5-48D2-8E68-E6AB08E836B4}"/>
              </a:ext>
            </a:extLst>
          </xdr:cNvPr>
          <xdr:cNvGrpSpPr/>
        </xdr:nvGrpSpPr>
        <xdr:grpSpPr>
          <a:xfrm>
            <a:off x="0" y="38100"/>
            <a:ext cx="15821025" cy="288000"/>
            <a:chOff x="1374037" y="47625"/>
            <a:chExt cx="14856563" cy="288000"/>
          </a:xfrm>
        </xdr:grpSpPr>
        <xdr:sp macro="" textlink="">
          <xdr:nvSpPr>
            <xdr:cNvPr id="44" name="Retângulo: Cantos Superiores Arredondados 43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825AB5EE-4593-41AA-A9BF-B0AFF5CFB1DE}"/>
                </a:ext>
              </a:extLst>
            </xdr:cNvPr>
            <xdr:cNvSpPr/>
          </xdr:nvSpPr>
          <xdr:spPr>
            <a:xfrm>
              <a:off x="1374037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APRESENTAÇÃO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45" name="Retângulo: Cantos Superiores Arredondados 44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21B65B4C-786A-47F5-A4B5-F186C44786CF}"/>
                </a:ext>
              </a:extLst>
            </xdr:cNvPr>
            <xdr:cNvSpPr/>
          </xdr:nvSpPr>
          <xdr:spPr>
            <a:xfrm>
              <a:off x="317054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100" b="1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INFLAÇÃO</a:t>
              </a:r>
              <a:endParaRPr lang="pt-BR" sz="110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46" name="Retângulo: Cantos Superiores Arredondados 45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9F1557BE-BDC6-48BF-8C66-62B4CB9C263E}"/>
                </a:ext>
              </a:extLst>
            </xdr:cNvPr>
            <xdr:cNvSpPr/>
          </xdr:nvSpPr>
          <xdr:spPr>
            <a:xfrm>
              <a:off x="14882133" y="47625"/>
              <a:ext cx="1348467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RTA 2022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47" name="Retângulo: Cantos Superiores Arredondados 46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5446AE09-850C-4D5E-9385-8B5F9FDBA8B4}"/>
                </a:ext>
              </a:extLst>
            </xdr:cNvPr>
            <xdr:cNvSpPr/>
          </xdr:nvSpPr>
          <xdr:spPr>
            <a:xfrm>
              <a:off x="11289109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COMPONENTE FINANCEIRO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48" name="Retângulo: Cantos Superiores Arredondados 47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1C5C4073-0BF5-45DD-A1CB-1907BF85F132}"/>
                </a:ext>
              </a:extLst>
            </xdr:cNvPr>
            <xdr:cNvSpPr/>
          </xdr:nvSpPr>
          <xdr:spPr>
            <a:xfrm>
              <a:off x="496706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BÔNUS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DESCONTO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49" name="Retângulo: Cantos Superiores Arredondados 48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91E11CAF-D08A-4336-BBF9-8F8A3DBC83B0}"/>
                </a:ext>
              </a:extLst>
            </xdr:cNvPr>
            <xdr:cNvSpPr/>
          </xdr:nvSpPr>
          <xdr:spPr>
            <a:xfrm>
              <a:off x="13085621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TARIFA DE CONTINGÊNCIA</a:t>
              </a:r>
              <a:endParaRPr lang="pt-BR">
                <a:effectLst/>
              </a:endParaRPr>
            </a:p>
          </xdr:txBody>
        </xdr:sp>
        <xdr:sp macro="" textlink="">
          <xdr:nvSpPr>
            <xdr:cNvPr id="50" name="Retângulo: Cantos Superiores Arredondados 49">
              <a:extLst>
                <a:ext uri="{FF2B5EF4-FFF2-40B4-BE49-F238E27FC236}">
                  <a16:creationId xmlns:a16="http://schemas.microsoft.com/office/drawing/2014/main" id="{15BD4E8A-E7E1-4EEE-BFE3-BF305397E28F}"/>
                </a:ext>
              </a:extLst>
            </xdr:cNvPr>
            <xdr:cNvSpPr/>
          </xdr:nvSpPr>
          <xdr:spPr>
            <a:xfrm>
              <a:off x="9924597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VPB</a:t>
              </a:r>
              <a:endParaRPr lang="pt-BR" sz="1100">
                <a:effectLst/>
              </a:endParaRPr>
            </a:p>
          </xdr:txBody>
        </xdr:sp>
        <xdr:sp macro="" textlink="">
          <xdr:nvSpPr>
            <xdr:cNvPr id="51" name="Retângulo: Cantos Superiores Arredondados 50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10D1C512-7BEB-46B0-8207-BFEA945FF8F6}"/>
                </a:ext>
              </a:extLst>
            </xdr:cNvPr>
            <xdr:cNvSpPr/>
          </xdr:nvSpPr>
          <xdr:spPr>
            <a:xfrm>
              <a:off x="8560085" y="47625"/>
              <a:ext cx="1368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VPA</a:t>
              </a:r>
            </a:p>
          </xdr:txBody>
        </xdr:sp>
        <xdr:sp macro="" textlink="">
          <xdr:nvSpPr>
            <xdr:cNvPr id="52" name="Retângulo: Cantos Superiores Arredondados 51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CBEF482D-44E4-4523-B9D3-7131AE47246E}"/>
                </a:ext>
              </a:extLst>
            </xdr:cNvPr>
            <xdr:cNvSpPr/>
          </xdr:nvSpPr>
          <xdr:spPr>
            <a:xfrm>
              <a:off x="6763573" y="47625"/>
              <a:ext cx="1800000" cy="288000"/>
            </a:xfrm>
            <a:prstGeom prst="round2SameRect">
              <a:avLst/>
            </a:prstGeom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 eaLnBrk="1" fontAlgn="auto" latinLnBrk="0" hangingPunct="1"/>
              <a:r>
                <a:rPr lang="pt-BR" sz="1100" b="1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VOLUMES</a:t>
              </a:r>
              <a:r>
                <a:rPr lang="pt-BR" sz="1100" b="1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- 2021</a:t>
              </a:r>
              <a:endParaRPr lang="pt-BR">
                <a:effectLst/>
              </a:endParaRPr>
            </a:p>
          </xdr:txBody>
        </xdr:sp>
      </xdr:grpSp>
      <xdr:sp macro="" textlink="">
        <xdr:nvSpPr>
          <xdr:cNvPr id="43" name="Retângulo: Cantos Superiores Arredondados 42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74D280FE-B71F-47CD-B376-603187B36572}"/>
              </a:ext>
            </a:extLst>
          </xdr:cNvPr>
          <xdr:cNvSpPr/>
        </xdr:nvSpPr>
        <xdr:spPr>
          <a:xfrm>
            <a:off x="15821025" y="38100"/>
            <a:ext cx="142648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2022</a:t>
            </a:r>
            <a:endParaRPr lang="pt-BR"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4\WORKFA\lydiane\ME\ADASA\AP\MODELO_ER_-_ADASA_xv_1.1x_-_AP_001-2008\(BASE)%20EMPRESA%20REFERENCIA%20-%20ANEEL%20-%20CEB%20AP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rspfs04\WORKFA\Users\Valuation%20Group\Business%20Valuation\SERVI&#199;OS\Regula&#231;&#227;o%20Econ&#244;mica\2.%20Projetos\2015\ADASA\6.%20Pesquisas%20DTT\0.%20ADASA%20-%20Planilhas\NT%20005-2010\MODELO_Custos%20Operacionais%20Eficientes%20-%20NT%20005-2010%20-%20Pos-AP001%20-%202010.xls?69D9A924" TargetMode="External"/><Relationship Id="rId1" Type="http://schemas.openxmlformats.org/officeDocument/2006/relationships/externalLinkPath" Target="file:///\\69D9A924\MODELO_Custos%20Operacionais%20Eficientes%20-%20NT%20005-2010%20-%20Pos-AP001%20-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\Users\Valuation%20Group\Business%20Valuation\SERVI&#199;OS\Regula&#231;&#227;o%20Econ&#244;mica\2.%20Projetos\2014\Agesan\2.%20Execu&#231;&#227;o\Entrega%202%20-%20Diagn&#243;stico%20da%20Situa&#231;&#227;o%20atual\Item%20V\Lages\DRE%20Hist&#243;rica_Lag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1\WORKFAS\FAS\Clientes%202008\Henkel\WACC\WACC_junho_2008%20Ajustada_Henkel_v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bcfs\workfas\Users\CORPORA\Staff\Fernanda%20Sodr&#233;\Tr&#243;pico\Wacc%20VoiP%20Novembro_2004%20ferna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DE CONTROLE"/>
      <sheetName val="Parâmetros"/>
      <sheetName val="Consumidores"/>
      <sheetName val="Dados Físicos"/>
      <sheetName val="Custos Adicionais"/>
      <sheetName val="EmpresasDadosGerais"/>
      <sheetName val="Índices"/>
      <sheetName val="Custo Mat de Tarefas"/>
      <sheetName val="Custos EPC-EPI"/>
      <sheetName val="Custo Equipe"/>
      <sheetName val="Custos de Veículo"/>
      <sheetName val="Administração e Sistemas"/>
      <sheetName val="Salarios"/>
      <sheetName val="Cluster1"/>
      <sheetName val="Cluster2"/>
      <sheetName val="Cluster3"/>
      <sheetName val="Cluster4"/>
      <sheetName val="Cluster5"/>
      <sheetName val="Cluster6"/>
      <sheetName val="Cluster7"/>
      <sheetName val="Cluster8"/>
      <sheetName val="Cluster9"/>
      <sheetName val="Cluster10"/>
      <sheetName val="Gastos Gerencias Regionais"/>
      <sheetName val="Tarefas Comerciais"/>
      <sheetName val="Tarefas de O&amp;M"/>
      <sheetName val="Gastos Sistemas Computacionais"/>
      <sheetName val="Plan1"/>
      <sheetName val="Faturamento"/>
      <sheetName val="Perdas velha"/>
      <sheetName val="Perdas Nao Técnicas"/>
      <sheetName val="Teleatendimentovelho"/>
      <sheetName val="Teleatendimento"/>
      <sheetName val="Relatorio 1"/>
      <sheetName val="Relato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"/>
      <sheetName val="P-Indices"/>
      <sheetName val="P-Salarios"/>
      <sheetName val="P-Equipes"/>
      <sheetName val="P-Veiculos"/>
      <sheetName val="E-Estrutura"/>
      <sheetName val="E-AdmSist"/>
      <sheetName val="E-ETA-ETE"/>
      <sheetName val="E-Elevatorias"/>
      <sheetName val="E-Comercial"/>
      <sheetName val="E-Economias"/>
      <sheetName val="E-Fisicos-Agua (Cap)"/>
      <sheetName val="E-Fisicos-Agua (ETA)"/>
      <sheetName val="E-Fisicos-Agua (Dist)"/>
      <sheetName val="E-Fisicos-Esgoto (Col)"/>
      <sheetName val="E-Fisicos-Esgoto (ETE)"/>
      <sheetName val="E-Fisicos-Esgoto (Emi)"/>
      <sheetName val="E-Adicionais"/>
      <sheetName val="C-Sistemas"/>
      <sheetName val="C-EstCentral"/>
      <sheetName val="C-Regional"/>
      <sheetName val="C-Elevatorias"/>
      <sheetName val="C-ETA-ETE Adm"/>
      <sheetName val="C-ETA-ETE Insumos"/>
      <sheetName val="C-EscritCom"/>
      <sheetName val="C-Faturamento"/>
      <sheetName val="C-Teleatendimento"/>
      <sheetName val="C-O&amp;M-Agua (Cap)"/>
      <sheetName val="C-O&amp;M-Agua (ETA)"/>
      <sheetName val="C-O&amp;M-Agua (Dist)"/>
      <sheetName val="C-O&amp;M-Esgoto (Col)"/>
      <sheetName val="C-O&amp;M-Esgoto (ETE)"/>
      <sheetName val="C-O&amp;M-Esgoto (Emi)"/>
      <sheetName val="S-Geral"/>
      <sheetName val="S-Sistemas"/>
      <sheetName val="S-EstCentral"/>
      <sheetName val="S-Regional"/>
      <sheetName val="S-Elevatorias"/>
      <sheetName val="S-ETA-ETE"/>
      <sheetName val="S-EscritCom"/>
      <sheetName val="S-Faturamento"/>
      <sheetName val="S-Teleatendimento"/>
      <sheetName val="S-O&amp;M Gasto"/>
      <sheetName val="S-O&amp;M Qtdes"/>
      <sheetName val="S-Cust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"/>
      <sheetName val="Recebidos"/>
      <sheetName val="Rec. 2010"/>
      <sheetName val="Rec. 2011"/>
      <sheetName val="Rec. 2013"/>
      <sheetName val="Desp. 2010"/>
      <sheetName val="Desp. 2011"/>
      <sheetName val="Desp. 2012"/>
      <sheetName val="Verificar_Desp. 2013"/>
      <sheetName val="Verificar_Desp 2012"/>
      <sheetName val="Verificar_Rec. 20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ão Relatótio"/>
      <sheetName val="Final"/>
      <sheetName val="Controle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erc"/>
      <sheetName val="Kterc (2)"/>
      <sheetName val="Final"/>
      <sheetName val="Controle"/>
      <sheetName val="BETA (2)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  <sheetName val="Fat T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adasa.df.gov.br/images/storage/audiencia_publica/002-2021/Nota_Tecnica_11_2021_COEE_SEF_ADASA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dasa.df.gov.br/images/storage/legislacao/resolucoes_adasa/Resolucao_n_05_2021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8607-90C1-438C-AD22-4D9BF2C2515D}">
  <sheetPr codeName="Planilha1"/>
  <dimension ref="A1:AB30"/>
  <sheetViews>
    <sheetView showGridLines="0" showRowColHeaders="0" tabSelected="1" zoomScale="90" zoomScaleNormal="90" workbookViewId="0"/>
  </sheetViews>
  <sheetFormatPr defaultColWidth="0" defaultRowHeight="15" x14ac:dyDescent="0.25"/>
  <cols>
    <col min="1" max="12" width="9.140625" customWidth="1"/>
    <col min="13" max="13" width="17.85546875" customWidth="1"/>
    <col min="14" max="23" width="9.140625" customWidth="1"/>
    <col min="24" max="24" width="3.7109375" customWidth="1"/>
    <col min="25" max="25" width="9.140625" customWidth="1"/>
    <col min="26" max="26" width="5.42578125" customWidth="1"/>
    <col min="27" max="27" width="14.140625" customWidth="1"/>
    <col min="28" max="28" width="6.85546875" customWidth="1"/>
    <col min="29" max="16384" width="9.140625" hidden="1"/>
  </cols>
  <sheetData>
    <row r="1" s="26" customFormat="1" ht="3" customHeight="1" x14ac:dyDescent="0.25"/>
    <row r="2" s="26" customFormat="1" x14ac:dyDescent="0.25"/>
    <row r="3" s="108" customFormat="1" x14ac:dyDescent="0.25"/>
    <row r="4" s="108" customFormat="1" x14ac:dyDescent="0.25"/>
    <row r="5" s="108" customFormat="1" ht="20.100000000000001" customHeight="1" x14ac:dyDescent="0.25"/>
    <row r="26" spans="15:15" x14ac:dyDescent="0.25">
      <c r="O26" s="20"/>
    </row>
    <row r="27" spans="15:15" x14ac:dyDescent="0.25">
      <c r="O27" s="20"/>
    </row>
    <row r="28" spans="15:15" x14ac:dyDescent="0.25">
      <c r="O28" s="20"/>
    </row>
    <row r="29" spans="15:15" x14ac:dyDescent="0.25">
      <c r="O29" s="20"/>
    </row>
    <row r="30" spans="15:15" x14ac:dyDescent="0.25">
      <c r="O30" s="20"/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3" tint="-0.249977111117893"/>
  </sheetPr>
  <dimension ref="A1:N43"/>
  <sheetViews>
    <sheetView showGridLines="0" showRowColHeaders="0" zoomScale="90" zoomScaleNormal="90" workbookViewId="0"/>
  </sheetViews>
  <sheetFormatPr defaultColWidth="0" defaultRowHeight="14.25" zeroHeight="1" x14ac:dyDescent="0.2"/>
  <cols>
    <col min="1" max="1" width="9.140625" style="1" customWidth="1"/>
    <col min="2" max="2" width="23.42578125" style="1" customWidth="1"/>
    <col min="3" max="3" width="17.28515625" style="1" customWidth="1"/>
    <col min="4" max="4" width="16.7109375" style="1" customWidth="1"/>
    <col min="5" max="5" width="14" style="1" customWidth="1"/>
    <col min="6" max="6" width="13.5703125" style="1" customWidth="1"/>
    <col min="7" max="7" width="18.140625" style="1" customWidth="1"/>
    <col min="8" max="8" width="19" style="1" bestFit="1" customWidth="1"/>
    <col min="9" max="9" width="58" style="1" bestFit="1" customWidth="1"/>
    <col min="10" max="10" width="18.85546875" style="1" bestFit="1" customWidth="1"/>
    <col min="11" max="11" width="15.5703125" style="1" bestFit="1" customWidth="1"/>
    <col min="12" max="12" width="13.5703125" style="1" customWidth="1"/>
    <col min="13" max="13" width="21.140625" style="1" customWidth="1"/>
    <col min="14" max="14" width="16" style="1" hidden="1" customWidth="1"/>
    <col min="15" max="16384" width="9.140625" style="1" hidden="1"/>
  </cols>
  <sheetData>
    <row r="1" spans="1:13" ht="3" customHeight="1" x14ac:dyDescent="0.2"/>
    <row r="2" spans="1:13" ht="15" customHeight="1" x14ac:dyDescent="0.2"/>
    <row r="3" spans="1:13" ht="15" customHeight="1" x14ac:dyDescent="0.2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ht="15" customHeight="1" x14ac:dyDescent="0.2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1:13" ht="20.100000000000001" customHeight="1" x14ac:dyDescent="0.2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6" spans="1:13" ht="15" customHeight="1" x14ac:dyDescent="0.2"/>
    <row r="7" spans="1:13" ht="15" customHeight="1" x14ac:dyDescent="0.2"/>
    <row r="8" spans="1:13" ht="15" customHeight="1" x14ac:dyDescent="0.2"/>
    <row r="9" spans="1:13" ht="15" customHeight="1" x14ac:dyDescent="0.2"/>
    <row r="10" spans="1:13" ht="15" customHeight="1" x14ac:dyDescent="0.2"/>
    <row r="11" spans="1:13" ht="15" customHeight="1" x14ac:dyDescent="0.2"/>
    <row r="12" spans="1:13" ht="15" customHeight="1" x14ac:dyDescent="0.2"/>
    <row r="13" spans="1:13" ht="15" customHeight="1" x14ac:dyDescent="0.2"/>
    <row r="14" spans="1:13" ht="15" customHeight="1" x14ac:dyDescent="0.2"/>
    <row r="15" spans="1:13" ht="15" customHeight="1" x14ac:dyDescent="0.2"/>
    <row r="16" spans="1:13" ht="15" customHeight="1" x14ac:dyDescent="0.2"/>
    <row r="17" ht="25.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</sheetData>
  <phoneticPr fontId="3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ABAD-1478-495E-BE42-4F88C1A5A942}">
  <sheetPr codeName="Planilha12">
    <tabColor theme="7" tint="0.39997558519241921"/>
  </sheetPr>
  <dimension ref="A1:T40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3.42578125" customWidth="1"/>
    <col min="2" max="2" width="24.28515625" customWidth="1"/>
    <col min="3" max="3" width="16" style="13" bestFit="1" customWidth="1"/>
    <col min="4" max="7" width="14.85546875" customWidth="1"/>
    <col min="8" max="8" width="17.28515625" customWidth="1"/>
    <col min="9" max="15" width="14.85546875" customWidth="1"/>
    <col min="16" max="16" width="16.85546875" bestFit="1" customWidth="1"/>
    <col min="17" max="17" width="2" customWidth="1"/>
    <col min="18" max="18" width="7.42578125" customWidth="1"/>
    <col min="19" max="19" width="9.140625" customWidth="1"/>
    <col min="20" max="20" width="4.7109375" customWidth="1"/>
    <col min="21" max="16384" width="9.140625" hidden="1"/>
  </cols>
  <sheetData>
    <row r="1" spans="1:20" ht="3" customHeight="1" x14ac:dyDescent="0.25"/>
    <row r="2" spans="1:20" x14ac:dyDescent="0.25"/>
    <row r="3" spans="1:20" x14ac:dyDescent="0.25">
      <c r="A3" s="108"/>
      <c r="B3" s="108"/>
      <c r="C3" s="189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1:20" x14ac:dyDescent="0.25">
      <c r="A4" s="108"/>
      <c r="B4" s="108"/>
      <c r="C4" s="189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1:20" ht="20.100000000000001" customHeight="1" x14ac:dyDescent="0.25">
      <c r="A5" s="108"/>
      <c r="B5" s="108"/>
      <c r="C5" s="189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spans="1:20" x14ac:dyDescent="0.25"/>
    <row r="7" spans="1:20" ht="18.75" x14ac:dyDescent="0.25">
      <c r="B7" s="229" t="s">
        <v>146</v>
      </c>
      <c r="C7" s="184"/>
    </row>
    <row r="8" spans="1:20" ht="10.5" customHeight="1" x14ac:dyDescent="0.25"/>
    <row r="9" spans="1:20" x14ac:dyDescent="0.25">
      <c r="B9" s="434" t="s">
        <v>147</v>
      </c>
      <c r="C9" s="434"/>
      <c r="E9" s="434">
        <v>2021</v>
      </c>
      <c r="F9" s="434"/>
      <c r="G9" s="434"/>
      <c r="H9" s="434"/>
      <c r="I9" s="434"/>
      <c r="J9" s="434"/>
    </row>
    <row r="10" spans="1:20" x14ac:dyDescent="0.25">
      <c r="B10" s="224" t="s">
        <v>148</v>
      </c>
      <c r="C10" s="174">
        <f>+J23+'CF - Outros 2022'!E37</f>
        <v>-102246412.06225562</v>
      </c>
      <c r="E10" s="212" t="s">
        <v>149</v>
      </c>
      <c r="F10" s="212" t="s">
        <v>150</v>
      </c>
      <c r="G10" s="212" t="s">
        <v>151</v>
      </c>
      <c r="H10" s="212" t="s">
        <v>152</v>
      </c>
      <c r="I10" s="212" t="s">
        <v>153</v>
      </c>
      <c r="J10" s="212" t="s">
        <v>148</v>
      </c>
    </row>
    <row r="11" spans="1:20" x14ac:dyDescent="0.25">
      <c r="B11" s="224" t="s">
        <v>152</v>
      </c>
      <c r="C11" s="225">
        <f>Volume_2021!P129</f>
        <v>290126828.61000001</v>
      </c>
      <c r="E11" s="203" t="s">
        <v>154</v>
      </c>
      <c r="F11" s="214">
        <f>+D39</f>
        <v>6547720.3729365002</v>
      </c>
      <c r="G11" s="214">
        <f>$C$12*H11</f>
        <v>6423797.9554230524</v>
      </c>
      <c r="H11" s="214">
        <f>Volume_2021!$D$129</f>
        <v>24145983.769999996</v>
      </c>
      <c r="I11" s="215">
        <f>Índices_2021!$F$22/Índices_2021!F11-1</f>
        <v>9.7865454956417519E-2</v>
      </c>
      <c r="J11" s="216">
        <f>(F11-G11)*(1+I11)</f>
        <v>136050.1412827005</v>
      </c>
    </row>
    <row r="12" spans="1:20" ht="18" x14ac:dyDescent="0.35">
      <c r="B12" s="224" t="s">
        <v>155</v>
      </c>
      <c r="C12" s="226">
        <f>P39/C11</f>
        <v>0.26604001794303589</v>
      </c>
      <c r="E12" s="203" t="s">
        <v>156</v>
      </c>
      <c r="F12" s="214">
        <f>+E39</f>
        <v>6089090.2761899009</v>
      </c>
      <c r="G12" s="214">
        <f t="shared" ref="G12:G22" si="0">$C$12*H12</f>
        <v>5950654.3872455442</v>
      </c>
      <c r="H12" s="214">
        <f>Volume_2021!$E$129</f>
        <v>22367516.109999999</v>
      </c>
      <c r="I12" s="215">
        <f>Índices_2021!$F$22/Índices_2021!F12-1</f>
        <v>8.8504436693742639E-2</v>
      </c>
      <c r="J12" s="216">
        <f t="shared" ref="J12:J20" si="1">(F12-G12)*(1+I12)</f>
        <v>150688.0793135745</v>
      </c>
    </row>
    <row r="13" spans="1:20" x14ac:dyDescent="0.25">
      <c r="B13" s="185"/>
      <c r="C13" s="186"/>
      <c r="E13" s="203" t="s">
        <v>157</v>
      </c>
      <c r="F13" s="214">
        <f>+F39</f>
        <v>6078480.9442483876</v>
      </c>
      <c r="G13" s="214">
        <f t="shared" si="0"/>
        <v>6627257.2256421382</v>
      </c>
      <c r="H13" s="214">
        <f>Volume_2021!$F$129</f>
        <v>24910753.189999998</v>
      </c>
      <c r="I13" s="215">
        <f>Índices_2021!$F$22/Índices_2021!F13-1</f>
        <v>7.8474356444018234E-2</v>
      </c>
      <c r="J13" s="216">
        <f t="shared" si="1"/>
        <v>-591841.14690786658</v>
      </c>
    </row>
    <row r="14" spans="1:20" x14ac:dyDescent="0.25">
      <c r="E14" s="203" t="s">
        <v>158</v>
      </c>
      <c r="F14" s="214">
        <f>+G39</f>
        <v>6346344.4850285454</v>
      </c>
      <c r="G14" s="214">
        <f t="shared" si="0"/>
        <v>6227860.9720321083</v>
      </c>
      <c r="H14" s="214">
        <f>Volume_2021!$G$129</f>
        <v>23409489.370000001</v>
      </c>
      <c r="I14" s="215">
        <f>Índices_2021!$F$22/Índices_2021!F14-1</f>
        <v>7.5141726293894706E-2</v>
      </c>
      <c r="J14" s="216">
        <f t="shared" si="1"/>
        <v>127386.56870035442</v>
      </c>
    </row>
    <row r="15" spans="1:20" x14ac:dyDescent="0.25">
      <c r="E15" s="203" t="s">
        <v>159</v>
      </c>
      <c r="F15" s="214">
        <f>+H39</f>
        <v>6458256.2588040195</v>
      </c>
      <c r="G15" s="214">
        <f t="shared" si="0"/>
        <v>6378419.6026765155</v>
      </c>
      <c r="H15" s="214">
        <f>Volume_2021!$H$129</f>
        <v>23975414.119999997</v>
      </c>
      <c r="I15" s="215">
        <f>Índices_2021!$F$22/Índices_2021!F15-1</f>
        <v>6.6290795810131753E-2</v>
      </c>
      <c r="J15" s="216">
        <f t="shared" si="1"/>
        <v>85129.091597016144</v>
      </c>
    </row>
    <row r="16" spans="1:20" x14ac:dyDescent="0.25">
      <c r="E16" s="203" t="s">
        <v>160</v>
      </c>
      <c r="F16" s="214">
        <f>+I39</f>
        <v>6378504.3869366236</v>
      </c>
      <c r="G16" s="214">
        <f t="shared" si="0"/>
        <v>6475370.3742457498</v>
      </c>
      <c r="H16" s="214">
        <f>Volume_2021!$I$129</f>
        <v>24339835.880000003</v>
      </c>
      <c r="I16" s="215">
        <f>Índices_2021!$F$22/Índices_2021!F16-1</f>
        <v>6.066918776148289E-2</v>
      </c>
      <c r="J16" s="216">
        <f t="shared" si="1"/>
        <v>-102742.76808088498</v>
      </c>
    </row>
    <row r="17" spans="2:16" x14ac:dyDescent="0.25">
      <c r="E17" s="203" t="s">
        <v>161</v>
      </c>
      <c r="F17" s="214">
        <f>+J39</f>
        <v>6430378.6276343111</v>
      </c>
      <c r="G17" s="214">
        <f t="shared" si="0"/>
        <v>6398071.9708207669</v>
      </c>
      <c r="H17" s="214">
        <f>Volume_2021!$J$129</f>
        <v>24049284.089999996</v>
      </c>
      <c r="I17" s="215">
        <f>Índices_2021!$F$22/Índices_2021!F17-1</f>
        <v>5.0583911408202509E-2</v>
      </c>
      <c r="J17" s="216">
        <f t="shared" si="1"/>
        <v>33940.853879695744</v>
      </c>
    </row>
    <row r="18" spans="2:16" x14ac:dyDescent="0.25">
      <c r="E18" s="203" t="s">
        <v>162</v>
      </c>
      <c r="F18" s="214">
        <f>+K39</f>
        <v>6467866.1076861685</v>
      </c>
      <c r="G18" s="214">
        <f t="shared" si="0"/>
        <v>6237929.546494782</v>
      </c>
      <c r="H18" s="214">
        <f>Volume_2021!$K$129</f>
        <v>23447335.460000001</v>
      </c>
      <c r="I18" s="215">
        <f>Índices_2021!$F$22/Índices_2021!F18-1</f>
        <v>4.1522791671275705E-2</v>
      </c>
      <c r="J18" s="216">
        <f t="shared" si="1"/>
        <v>239484.16911934601</v>
      </c>
    </row>
    <row r="19" spans="2:16" x14ac:dyDescent="0.25">
      <c r="E19" s="203" t="s">
        <v>163</v>
      </c>
      <c r="F19" s="214">
        <f>+L39</f>
        <v>6784270.7782904394</v>
      </c>
      <c r="G19" s="214">
        <f t="shared" si="0"/>
        <v>7126025.848159926</v>
      </c>
      <c r="H19" s="214">
        <f>Volume_2021!$L$129</f>
        <v>26785541.149999999</v>
      </c>
      <c r="I19" s="215">
        <f>Índices_2021!$F$22/Índices_2021!F19-1</f>
        <v>2.9580045119536491E-2</v>
      </c>
      <c r="J19" s="216">
        <f t="shared" si="1"/>
        <v>-351864.20025605639</v>
      </c>
    </row>
    <row r="20" spans="2:16" x14ac:dyDescent="0.25">
      <c r="E20" s="203" t="s">
        <v>164</v>
      </c>
      <c r="F20" s="214">
        <f>+M39</f>
        <v>6701930.9021084812</v>
      </c>
      <c r="G20" s="214">
        <f t="shared" si="0"/>
        <v>6676439.9400036605</v>
      </c>
      <c r="H20" s="214">
        <f>Volume_2021!$M$129</f>
        <v>25095622.800000001</v>
      </c>
      <c r="I20" s="215">
        <f>Índices_2021!$F$22/Índices_2021!F20-1</f>
        <v>1.6869623877006079E-2</v>
      </c>
      <c r="J20" s="216">
        <f t="shared" si="1"/>
        <v>25920.985047791986</v>
      </c>
    </row>
    <row r="21" spans="2:16" ht="15" customHeight="1" x14ac:dyDescent="0.25">
      <c r="E21" s="203" t="s">
        <v>165</v>
      </c>
      <c r="F21" s="214">
        <f>+N39</f>
        <v>6302301.1664014999</v>
      </c>
      <c r="G21" s="214">
        <f t="shared" si="0"/>
        <v>6334136.2254170291</v>
      </c>
      <c r="H21" s="214">
        <f>Volume_2021!$N$129</f>
        <v>23808960.300000001</v>
      </c>
      <c r="I21" s="215">
        <f>Índices_2021!$F$22/Índices_2021!F21-1</f>
        <v>7.2995824342585447E-3</v>
      </c>
      <c r="J21" s="216">
        <f>(F21-G21)*(1+I21)</f>
        <v>-32067.441653112572</v>
      </c>
    </row>
    <row r="22" spans="2:16" x14ac:dyDescent="0.25">
      <c r="E22" s="203" t="s">
        <v>166</v>
      </c>
      <c r="F22" s="214">
        <f>+O39</f>
        <v>6600202.3828956075</v>
      </c>
      <c r="G22" s="214">
        <f t="shared" si="0"/>
        <v>6329382.6409992231</v>
      </c>
      <c r="H22" s="214">
        <f>Volume_2021!$O$129</f>
        <v>23791092.369999997</v>
      </c>
      <c r="I22" s="215">
        <f>Índices_2021!$F$22/Índices_2021!F22-1</f>
        <v>0</v>
      </c>
      <c r="J22" s="216">
        <f>(F22-G22)*(1+I22)</f>
        <v>270819.7418963844</v>
      </c>
    </row>
    <row r="23" spans="2:16" ht="15" customHeight="1" x14ac:dyDescent="0.25">
      <c r="E23" s="217" t="s">
        <v>167</v>
      </c>
      <c r="F23" s="218">
        <f>SUM(F11:F22)</f>
        <v>77185346.689160481</v>
      </c>
      <c r="G23" s="218">
        <f>SUM(G11:G22)</f>
        <v>77185346.689160496</v>
      </c>
      <c r="H23" s="218">
        <f>SUM(H11:H22)</f>
        <v>290126828.61000001</v>
      </c>
      <c r="I23" s="219"/>
      <c r="J23" s="220">
        <f>SUM(J11:J22)</f>
        <v>-9095.9260610567871</v>
      </c>
    </row>
    <row r="24" spans="2:16" ht="15" customHeight="1" x14ac:dyDescent="0.25"/>
    <row r="25" spans="2:16" x14ac:dyDescent="0.25">
      <c r="B25" s="434">
        <v>2021</v>
      </c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</row>
    <row r="26" spans="2:16" x14ac:dyDescent="0.25">
      <c r="B26" s="197" t="s">
        <v>168</v>
      </c>
      <c r="C26" s="198" t="str">
        <f>UPPER("UN")</f>
        <v>UN</v>
      </c>
      <c r="D26" s="199" t="s">
        <v>169</v>
      </c>
      <c r="E26" s="199" t="s">
        <v>170</v>
      </c>
      <c r="F26" s="199" t="s">
        <v>171</v>
      </c>
      <c r="G26" s="199" t="s">
        <v>172</v>
      </c>
      <c r="H26" s="199" t="s">
        <v>173</v>
      </c>
      <c r="I26" s="199" t="s">
        <v>174</v>
      </c>
      <c r="J26" s="199" t="s">
        <v>175</v>
      </c>
      <c r="K26" s="199" t="s">
        <v>176</v>
      </c>
      <c r="L26" s="199" t="s">
        <v>177</v>
      </c>
      <c r="M26" s="199" t="s">
        <v>178</v>
      </c>
      <c r="N26" s="199" t="s">
        <v>179</v>
      </c>
      <c r="O26" s="199" t="s">
        <v>180</v>
      </c>
      <c r="P26" s="199" t="s">
        <v>167</v>
      </c>
    </row>
    <row r="27" spans="2:16" x14ac:dyDescent="0.25">
      <c r="B27" s="230" t="s">
        <v>181</v>
      </c>
      <c r="C27" s="231" t="s">
        <v>182</v>
      </c>
      <c r="D27" s="200">
        <v>148257439.59999999</v>
      </c>
      <c r="E27" s="200">
        <v>136480457.30000001</v>
      </c>
      <c r="F27" s="200">
        <v>138626381.22999999</v>
      </c>
      <c r="G27" s="200">
        <v>142026579.81999999</v>
      </c>
      <c r="H27" s="200">
        <v>146726435.78</v>
      </c>
      <c r="I27" s="200">
        <v>149692751.13</v>
      </c>
      <c r="J27" s="200">
        <v>149221374.09</v>
      </c>
      <c r="K27" s="200">
        <v>144456438.06999999</v>
      </c>
      <c r="L27" s="200">
        <v>168482920.27000001</v>
      </c>
      <c r="M27" s="200">
        <v>156623053.41999999</v>
      </c>
      <c r="N27" s="200">
        <v>146076876.77000001</v>
      </c>
      <c r="O27" s="200">
        <v>147672531.50999999</v>
      </c>
      <c r="P27" s="200">
        <f>SUM(D27:O27)</f>
        <v>1774343238.99</v>
      </c>
    </row>
    <row r="28" spans="2:16" x14ac:dyDescent="0.25">
      <c r="B28" s="227" t="s">
        <v>183</v>
      </c>
      <c r="C28" s="232" t="s">
        <v>184</v>
      </c>
      <c r="D28" s="133">
        <f>Volume_2021!D10</f>
        <v>21329525</v>
      </c>
      <c r="E28" s="133">
        <f>Volume_2021!E10</f>
        <v>18942126</v>
      </c>
      <c r="F28" s="133">
        <f>Volume_2021!F10</f>
        <v>21410977</v>
      </c>
      <c r="G28" s="133">
        <f>Volume_2021!G10</f>
        <v>21009584</v>
      </c>
      <c r="H28" s="133">
        <f>Volume_2021!H10</f>
        <v>21562632</v>
      </c>
      <c r="I28" s="133">
        <f>Volume_2021!I10</f>
        <v>21199014</v>
      </c>
      <c r="J28" s="133">
        <f>Volume_2021!J10</f>
        <v>21396238</v>
      </c>
      <c r="K28" s="133">
        <f>Volume_2021!K10</f>
        <v>22142863</v>
      </c>
      <c r="L28" s="133">
        <f>Volume_2021!L10</f>
        <v>22155409</v>
      </c>
      <c r="M28" s="133">
        <f>Volume_2021!M10</f>
        <v>21949411</v>
      </c>
      <c r="N28" s="133">
        <f>Volume_2021!N10</f>
        <v>20403085</v>
      </c>
      <c r="O28" s="133">
        <f>Volume_2021!O10</f>
        <v>20515399</v>
      </c>
      <c r="P28" s="201">
        <f>SUM(D28:O28)</f>
        <v>254016263</v>
      </c>
    </row>
    <row r="29" spans="2:16" x14ac:dyDescent="0.25">
      <c r="B29" s="227" t="s">
        <v>185</v>
      </c>
      <c r="C29" s="232" t="s">
        <v>184</v>
      </c>
      <c r="D29" s="133">
        <f>Volume_2021!D11</f>
        <v>11667924</v>
      </c>
      <c r="E29" s="133">
        <f>Volume_2021!E11</f>
        <v>12028033</v>
      </c>
      <c r="F29" s="133">
        <f>Volume_2021!F11</f>
        <v>12316128</v>
      </c>
      <c r="G29" s="133">
        <f>Volume_2021!G11</f>
        <v>11467995</v>
      </c>
      <c r="H29" s="133">
        <f>Volume_2021!H11</f>
        <v>11058919</v>
      </c>
      <c r="I29" s="133">
        <f>Volume_2021!I11</f>
        <v>10550494</v>
      </c>
      <c r="J29" s="133">
        <f>Volume_2021!J11</f>
        <v>10438164</v>
      </c>
      <c r="K29" s="133">
        <f>Volume_2021!K11</f>
        <v>10471271</v>
      </c>
      <c r="L29" s="133">
        <f>Volume_2021!L11</f>
        <v>10273113</v>
      </c>
      <c r="M29" s="133">
        <f>Volume_2021!M11</f>
        <v>10966203</v>
      </c>
      <c r="N29" s="133">
        <f>Volume_2021!N11</f>
        <v>11161624</v>
      </c>
      <c r="O29" s="133">
        <f>Volume_2021!O11</f>
        <v>12501741</v>
      </c>
      <c r="P29" s="201">
        <f>SUM(D29:O29)</f>
        <v>134901609</v>
      </c>
    </row>
    <row r="30" spans="2:16" x14ac:dyDescent="0.25">
      <c r="B30" s="233" t="s">
        <v>186</v>
      </c>
      <c r="C30" s="234" t="s">
        <v>184</v>
      </c>
      <c r="D30" s="202">
        <f>SUM(D28:D29)</f>
        <v>32997449</v>
      </c>
      <c r="E30" s="202">
        <f t="shared" ref="E30:O30" si="2">SUM(E28:E29)</f>
        <v>30970159</v>
      </c>
      <c r="F30" s="202">
        <f t="shared" si="2"/>
        <v>33727105</v>
      </c>
      <c r="G30" s="202">
        <f t="shared" si="2"/>
        <v>32477579</v>
      </c>
      <c r="H30" s="202">
        <f t="shared" si="2"/>
        <v>32621551</v>
      </c>
      <c r="I30" s="202">
        <f t="shared" si="2"/>
        <v>31749508</v>
      </c>
      <c r="J30" s="202">
        <f t="shared" si="2"/>
        <v>31834402</v>
      </c>
      <c r="K30" s="202">
        <f t="shared" si="2"/>
        <v>32614134</v>
      </c>
      <c r="L30" s="202">
        <f t="shared" si="2"/>
        <v>32428522</v>
      </c>
      <c r="M30" s="202">
        <f t="shared" si="2"/>
        <v>32915614</v>
      </c>
      <c r="N30" s="202">
        <f t="shared" si="2"/>
        <v>31564709</v>
      </c>
      <c r="O30" s="202">
        <f t="shared" si="2"/>
        <v>33017140</v>
      </c>
      <c r="P30" s="202">
        <f>SUM(P28:P29)</f>
        <v>388917872</v>
      </c>
    </row>
    <row r="31" spans="2:16" x14ac:dyDescent="0.25">
      <c r="B31" s="235" t="s">
        <v>187</v>
      </c>
      <c r="C31" s="236" t="s">
        <v>184</v>
      </c>
      <c r="D31" s="133">
        <f>Volume_2021!D54</f>
        <v>12993255</v>
      </c>
      <c r="E31" s="133">
        <f>Volume_2021!E54</f>
        <v>12019308</v>
      </c>
      <c r="F31" s="133">
        <f>Volume_2021!F54</f>
        <v>13068349</v>
      </c>
      <c r="G31" s="133">
        <f>Volume_2021!G54</f>
        <v>12595196</v>
      </c>
      <c r="H31" s="133">
        <f>Volume_2021!H54</f>
        <v>12903169</v>
      </c>
      <c r="I31" s="133">
        <f>Volume_2021!I54</f>
        <v>13122560</v>
      </c>
      <c r="J31" s="133">
        <f>Volume_2021!J54</f>
        <v>12954375</v>
      </c>
      <c r="K31" s="133">
        <f>Volume_2021!K54</f>
        <v>12647328</v>
      </c>
      <c r="L31" s="133">
        <f>Volume_2021!L54</f>
        <v>14479349</v>
      </c>
      <c r="M31" s="133">
        <f>Volume_2021!M54</f>
        <v>13517036</v>
      </c>
      <c r="N31" s="133">
        <f>Volume_2021!N54</f>
        <v>12785030</v>
      </c>
      <c r="O31" s="133">
        <f>Volume_2021!O54</f>
        <v>12751066</v>
      </c>
      <c r="P31" s="201">
        <f>SUM(D31:O31)</f>
        <v>155836021</v>
      </c>
    </row>
    <row r="32" spans="2:16" x14ac:dyDescent="0.25">
      <c r="B32" s="237" t="s">
        <v>188</v>
      </c>
      <c r="C32" s="236" t="s">
        <v>184</v>
      </c>
      <c r="D32" s="133">
        <f>Volume_2021!D91</f>
        <v>11152728.769999998</v>
      </c>
      <c r="E32" s="133">
        <f>Volume_2021!E91</f>
        <v>10348208.110000001</v>
      </c>
      <c r="F32" s="133">
        <f>Volume_2021!F91</f>
        <v>11842404.189999999</v>
      </c>
      <c r="G32" s="133">
        <f>Volume_2021!G91</f>
        <v>10814293.370000001</v>
      </c>
      <c r="H32" s="133">
        <f>Volume_2021!H91</f>
        <v>11072245.119999997</v>
      </c>
      <c r="I32" s="133">
        <f>Volume_2021!I91</f>
        <v>11217275.880000003</v>
      </c>
      <c r="J32" s="133">
        <f>Volume_2021!J91</f>
        <v>11094909.089999998</v>
      </c>
      <c r="K32" s="133">
        <f>Volume_2021!K91</f>
        <v>10800007.459999999</v>
      </c>
      <c r="L32" s="133">
        <f>Volume_2021!L91</f>
        <v>12306192.149999997</v>
      </c>
      <c r="M32" s="133">
        <f>Volume_2021!M91</f>
        <v>11578586.800000001</v>
      </c>
      <c r="N32" s="133">
        <f>Volume_2021!N91</f>
        <v>11023930.300000001</v>
      </c>
      <c r="O32" s="133">
        <f>Volume_2021!O91</f>
        <v>11040026.369999999</v>
      </c>
      <c r="P32" s="201">
        <f>SUM(D32:O32)</f>
        <v>134290807.60999998</v>
      </c>
    </row>
    <row r="33" spans="2:16" x14ac:dyDescent="0.25">
      <c r="B33" s="238" t="s">
        <v>189</v>
      </c>
      <c r="C33" s="234" t="s">
        <v>184</v>
      </c>
      <c r="D33" s="202">
        <f>SUM(D31:D32)</f>
        <v>24145983.769999996</v>
      </c>
      <c r="E33" s="202">
        <f t="shared" ref="E33:O33" si="3">SUM(E31:E32)</f>
        <v>22367516.109999999</v>
      </c>
      <c r="F33" s="202">
        <f t="shared" si="3"/>
        <v>24910753.189999998</v>
      </c>
      <c r="G33" s="202">
        <f t="shared" si="3"/>
        <v>23409489.370000001</v>
      </c>
      <c r="H33" s="202">
        <f t="shared" si="3"/>
        <v>23975414.119999997</v>
      </c>
      <c r="I33" s="202">
        <f t="shared" si="3"/>
        <v>24339835.880000003</v>
      </c>
      <c r="J33" s="202">
        <f t="shared" si="3"/>
        <v>24049284.089999996</v>
      </c>
      <c r="K33" s="202">
        <f t="shared" si="3"/>
        <v>23447335.460000001</v>
      </c>
      <c r="L33" s="202">
        <f t="shared" si="3"/>
        <v>26785541.149999999</v>
      </c>
      <c r="M33" s="202">
        <f t="shared" si="3"/>
        <v>25095622.800000001</v>
      </c>
      <c r="N33" s="202">
        <f t="shared" si="3"/>
        <v>23808960.300000001</v>
      </c>
      <c r="O33" s="202">
        <f t="shared" si="3"/>
        <v>23791092.369999997</v>
      </c>
      <c r="P33" s="202">
        <f>P31+P32</f>
        <v>290126828.61000001</v>
      </c>
    </row>
    <row r="34" spans="2:16" x14ac:dyDescent="0.25">
      <c r="B34" s="238" t="s">
        <v>190</v>
      </c>
      <c r="C34" s="234" t="s">
        <v>191</v>
      </c>
      <c r="D34" s="205">
        <f>D27/D33</f>
        <v>6.1400455252604527</v>
      </c>
      <c r="E34" s="205">
        <f t="shared" ref="E34:O34" si="4">E27/E33</f>
        <v>6.101726120540615</v>
      </c>
      <c r="F34" s="205">
        <f t="shared" si="4"/>
        <v>5.5649213081862658</v>
      </c>
      <c r="G34" s="205">
        <f t="shared" si="4"/>
        <v>6.0670515949831669</v>
      </c>
      <c r="H34" s="205">
        <f t="shared" si="4"/>
        <v>6.1198707578361535</v>
      </c>
      <c r="I34" s="205">
        <f t="shared" si="4"/>
        <v>6.1501134135831315</v>
      </c>
      <c r="J34" s="205">
        <f t="shared" si="4"/>
        <v>6.2048156415619946</v>
      </c>
      <c r="K34" s="205">
        <f t="shared" si="4"/>
        <v>6.1608892966296986</v>
      </c>
      <c r="L34" s="205">
        <f t="shared" si="4"/>
        <v>6.2900696807463987</v>
      </c>
      <c r="M34" s="205">
        <f t="shared" si="4"/>
        <v>6.241050667210378</v>
      </c>
      <c r="N34" s="205">
        <f t="shared" si="4"/>
        <v>6.1353740326913817</v>
      </c>
      <c r="O34" s="205">
        <f t="shared" si="4"/>
        <v>6.2070513288499329</v>
      </c>
      <c r="P34" s="205">
        <f>P27/P33</f>
        <v>6.1157502995875728</v>
      </c>
    </row>
    <row r="35" spans="2:16" x14ac:dyDescent="0.25">
      <c r="B35" s="239" t="s">
        <v>192</v>
      </c>
      <c r="C35" s="240" t="s">
        <v>182</v>
      </c>
      <c r="D35" s="208">
        <f>D27</f>
        <v>148257439.59999999</v>
      </c>
      <c r="E35" s="208">
        <f t="shared" ref="E35:O35" si="5">E27</f>
        <v>136480457.30000001</v>
      </c>
      <c r="F35" s="208">
        <f t="shared" si="5"/>
        <v>138626381.22999999</v>
      </c>
      <c r="G35" s="208">
        <f t="shared" si="5"/>
        <v>142026579.81999999</v>
      </c>
      <c r="H35" s="208">
        <f t="shared" si="5"/>
        <v>146726435.78</v>
      </c>
      <c r="I35" s="208">
        <f t="shared" si="5"/>
        <v>149692751.13</v>
      </c>
      <c r="J35" s="208">
        <f t="shared" si="5"/>
        <v>149221374.09</v>
      </c>
      <c r="K35" s="208">
        <f t="shared" si="5"/>
        <v>144456438.06999999</v>
      </c>
      <c r="L35" s="208">
        <f t="shared" si="5"/>
        <v>168482920.27000001</v>
      </c>
      <c r="M35" s="208">
        <f t="shared" si="5"/>
        <v>156623053.41999999</v>
      </c>
      <c r="N35" s="208">
        <f t="shared" si="5"/>
        <v>146076876.77000001</v>
      </c>
      <c r="O35" s="208">
        <f t="shared" si="5"/>
        <v>147672531.50999999</v>
      </c>
      <c r="P35" s="208">
        <f t="shared" ref="P35:P36" si="6">SUM(D35:O35)</f>
        <v>1774343238.99</v>
      </c>
    </row>
    <row r="36" spans="2:16" x14ac:dyDescent="0.25">
      <c r="B36" s="206" t="s">
        <v>193</v>
      </c>
      <c r="C36" s="207" t="s">
        <v>182</v>
      </c>
      <c r="D36" s="208">
        <f>D30*D34</f>
        <v>202605839.07745999</v>
      </c>
      <c r="E36" s="208">
        <f t="shared" ref="E36:O36" si="7">E30*E34</f>
        <v>188971428.12759602</v>
      </c>
      <c r="F36" s="208">
        <f t="shared" si="7"/>
        <v>187688685.27793553</v>
      </c>
      <c r="G36" s="208">
        <f t="shared" si="7"/>
        <v>197043147.47314182</v>
      </c>
      <c r="H36" s="208">
        <f t="shared" si="7"/>
        <v>199639676.04016075</v>
      </c>
      <c r="I36" s="208">
        <f t="shared" si="7"/>
        <v>195263075.02546495</v>
      </c>
      <c r="J36" s="208">
        <f t="shared" si="7"/>
        <v>197526595.46937245</v>
      </c>
      <c r="K36" s="208">
        <f t="shared" si="7"/>
        <v>200932069.07944673</v>
      </c>
      <c r="L36" s="208">
        <f t="shared" si="7"/>
        <v>203977663.02361757</v>
      </c>
      <c r="M36" s="208">
        <f t="shared" si="7"/>
        <v>205428014.71633926</v>
      </c>
      <c r="N36" s="208">
        <f t="shared" si="7"/>
        <v>193661295.94805995</v>
      </c>
      <c r="O36" s="208">
        <f t="shared" si="7"/>
        <v>204939082.71182427</v>
      </c>
      <c r="P36" s="208">
        <f t="shared" si="6"/>
        <v>2377676571.9704194</v>
      </c>
    </row>
    <row r="37" spans="2:16" x14ac:dyDescent="0.25">
      <c r="B37" s="209" t="s">
        <v>194</v>
      </c>
      <c r="C37" s="210" t="s">
        <v>182</v>
      </c>
      <c r="D37" s="222">
        <f>(D30*D34)*2.5%</f>
        <v>5065145.9769365005</v>
      </c>
      <c r="E37" s="222">
        <f t="shared" ref="E37:O37" si="8">(E30*E34)*2.5%</f>
        <v>4724285.7031899011</v>
      </c>
      <c r="F37" s="222">
        <f t="shared" si="8"/>
        <v>4692217.1319483882</v>
      </c>
      <c r="G37" s="222">
        <f t="shared" si="8"/>
        <v>4926078.6868285453</v>
      </c>
      <c r="H37" s="222">
        <f t="shared" si="8"/>
        <v>4990991.9010040192</v>
      </c>
      <c r="I37" s="222">
        <f t="shared" si="8"/>
        <v>4881576.8756366242</v>
      </c>
      <c r="J37" s="222">
        <f t="shared" si="8"/>
        <v>4938164.8867343115</v>
      </c>
      <c r="K37" s="222">
        <f t="shared" si="8"/>
        <v>5023301.7269861689</v>
      </c>
      <c r="L37" s="222">
        <f t="shared" si="8"/>
        <v>5099441.5755904391</v>
      </c>
      <c r="M37" s="222">
        <f t="shared" si="8"/>
        <v>5135700.3679084815</v>
      </c>
      <c r="N37" s="222">
        <f t="shared" si="8"/>
        <v>4841532.3987014992</v>
      </c>
      <c r="O37" s="222">
        <f t="shared" si="8"/>
        <v>5123477.0677956073</v>
      </c>
      <c r="P37" s="223">
        <f>SUM(D37:O37)</f>
        <v>59441914.29926049</v>
      </c>
    </row>
    <row r="38" spans="2:16" x14ac:dyDescent="0.25">
      <c r="B38" s="209" t="s">
        <v>195</v>
      </c>
      <c r="C38" s="210" t="s">
        <v>182</v>
      </c>
      <c r="D38" s="222">
        <f>(D33*D34)*1%</f>
        <v>1482574.3959999999</v>
      </c>
      <c r="E38" s="222">
        <f t="shared" ref="E38:O38" si="9">(E33*E34)*1%</f>
        <v>1364804.5730000001</v>
      </c>
      <c r="F38" s="222">
        <f t="shared" si="9"/>
        <v>1386263.8122999999</v>
      </c>
      <c r="G38" s="222">
        <f t="shared" si="9"/>
        <v>1420265.7981999998</v>
      </c>
      <c r="H38" s="222">
        <f t="shared" si="9"/>
        <v>1467264.3578000001</v>
      </c>
      <c r="I38" s="222">
        <f t="shared" si="9"/>
        <v>1496927.5112999999</v>
      </c>
      <c r="J38" s="222">
        <f t="shared" si="9"/>
        <v>1492213.7409000001</v>
      </c>
      <c r="K38" s="222">
        <f t="shared" si="9"/>
        <v>1444564.3806999999</v>
      </c>
      <c r="L38" s="222">
        <f t="shared" si="9"/>
        <v>1684829.2027000003</v>
      </c>
      <c r="M38" s="222">
        <f t="shared" si="9"/>
        <v>1566230.5341999999</v>
      </c>
      <c r="N38" s="222">
        <f t="shared" si="9"/>
        <v>1460768.7677000002</v>
      </c>
      <c r="O38" s="222">
        <f t="shared" si="9"/>
        <v>1476725.3151</v>
      </c>
      <c r="P38" s="223">
        <f>SUM(D38:O38)</f>
        <v>17743432.389899999</v>
      </c>
    </row>
    <row r="39" spans="2:16" x14ac:dyDescent="0.25">
      <c r="B39" s="211" t="s">
        <v>69</v>
      </c>
      <c r="C39" s="212"/>
      <c r="D39" s="213">
        <f>+D38+D37</f>
        <v>6547720.3729365002</v>
      </c>
      <c r="E39" s="213">
        <f t="shared" ref="E39:O39" si="10">+E38+E37</f>
        <v>6089090.2761899009</v>
      </c>
      <c r="F39" s="213">
        <f t="shared" si="10"/>
        <v>6078480.9442483876</v>
      </c>
      <c r="G39" s="213">
        <f t="shared" si="10"/>
        <v>6346344.4850285454</v>
      </c>
      <c r="H39" s="213">
        <f t="shared" si="10"/>
        <v>6458256.2588040195</v>
      </c>
      <c r="I39" s="213">
        <f t="shared" si="10"/>
        <v>6378504.3869366236</v>
      </c>
      <c r="J39" s="213">
        <f t="shared" si="10"/>
        <v>6430378.6276343111</v>
      </c>
      <c r="K39" s="213">
        <f t="shared" si="10"/>
        <v>6467866.1076861685</v>
      </c>
      <c r="L39" s="213">
        <f t="shared" si="10"/>
        <v>6784270.7782904394</v>
      </c>
      <c r="M39" s="213">
        <f t="shared" si="10"/>
        <v>6701930.9021084812</v>
      </c>
      <c r="N39" s="213">
        <f t="shared" si="10"/>
        <v>6302301.1664014999</v>
      </c>
      <c r="O39" s="213">
        <f t="shared" si="10"/>
        <v>6600202.3828956075</v>
      </c>
      <c r="P39" s="213">
        <f>+P38+P37</f>
        <v>77185346.689160496</v>
      </c>
    </row>
    <row r="40" spans="2:16" x14ac:dyDescent="0.25">
      <c r="D40" s="369"/>
    </row>
  </sheetData>
  <mergeCells count="3">
    <mergeCell ref="B25:P25"/>
    <mergeCell ref="B9:C9"/>
    <mergeCell ref="E9:J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6F376-D412-4377-95E5-00DBDF77F0D1}">
  <sheetPr codeName="Planilha13">
    <tabColor theme="7" tint="0.39997558519241921"/>
  </sheetPr>
  <dimension ref="A1:U78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4.85546875" customWidth="1"/>
    <col min="2" max="2" width="25" bestFit="1" customWidth="1"/>
    <col min="3" max="3" width="14.28515625" customWidth="1"/>
    <col min="4" max="4" width="12.42578125" customWidth="1"/>
    <col min="5" max="5" width="20.7109375" bestFit="1" customWidth="1"/>
    <col min="6" max="7" width="15.28515625" customWidth="1"/>
    <col min="8" max="8" width="22.140625" customWidth="1"/>
    <col min="9" max="9" width="15.42578125" bestFit="1" customWidth="1"/>
    <col min="10" max="14" width="15.28515625" customWidth="1"/>
    <col min="15" max="15" width="11.42578125" customWidth="1"/>
    <col min="16" max="16" width="16.85546875" customWidth="1"/>
    <col min="17" max="17" width="13.42578125" customWidth="1"/>
    <col min="18" max="18" width="4.5703125" customWidth="1"/>
    <col min="19" max="16384" width="9.140625" hidden="1"/>
  </cols>
  <sheetData>
    <row r="1" spans="1:21" ht="3" customHeight="1" x14ac:dyDescent="0.25"/>
    <row r="2" spans="1:21" x14ac:dyDescent="0.25"/>
    <row r="3" spans="1:2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1:2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1" ht="20.100000000000001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</row>
    <row r="6" spans="1:21" x14ac:dyDescent="0.25"/>
    <row r="7" spans="1:21" ht="15" customHeight="1" x14ac:dyDescent="0.25">
      <c r="B7" s="229" t="s">
        <v>146</v>
      </c>
      <c r="C7" s="184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21" ht="15" customHeight="1" x14ac:dyDescent="0.25"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1" ht="15.75" x14ac:dyDescent="0.25">
      <c r="B9" s="404" t="s">
        <v>196</v>
      </c>
      <c r="C9" s="405"/>
      <c r="D9" s="405"/>
      <c r="E9" s="405"/>
      <c r="F9" s="441"/>
    </row>
    <row r="10" spans="1:21" ht="18" x14ac:dyDescent="0.35">
      <c r="B10" s="447" t="s">
        <v>32</v>
      </c>
      <c r="C10" s="447"/>
      <c r="D10" s="447"/>
      <c r="E10" s="328" t="s">
        <v>197</v>
      </c>
      <c r="F10" s="366" t="s">
        <v>198</v>
      </c>
    </row>
    <row r="11" spans="1:21" x14ac:dyDescent="0.25">
      <c r="B11" s="448" t="s">
        <v>199</v>
      </c>
      <c r="C11" s="448"/>
      <c r="D11" s="448"/>
      <c r="E11" s="364">
        <f>(E14+E15)</f>
        <v>-54404880.660578564</v>
      </c>
      <c r="F11" s="365">
        <f>E11/'CF - 2022'!$C$11</f>
        <v>-0.18752102630850373</v>
      </c>
      <c r="H11" s="363"/>
    </row>
    <row r="12" spans="1:21" ht="7.5" customHeight="1" x14ac:dyDescent="0.25">
      <c r="B12" s="325"/>
      <c r="C12" s="325"/>
      <c r="D12" s="325"/>
      <c r="E12" s="320"/>
      <c r="F12" s="326"/>
      <c r="H12" s="363"/>
    </row>
    <row r="13" spans="1:21" ht="15" customHeight="1" x14ac:dyDescent="0.25">
      <c r="B13" s="449" t="s">
        <v>200</v>
      </c>
      <c r="C13" s="450"/>
      <c r="D13" s="450"/>
      <c r="E13" s="437">
        <v>1490278818.02</v>
      </c>
      <c r="F13" s="438"/>
      <c r="H13" s="363"/>
    </row>
    <row r="14" spans="1:21" x14ac:dyDescent="0.25">
      <c r="B14" s="449" t="s">
        <v>201</v>
      </c>
      <c r="C14" s="450"/>
      <c r="D14" s="450"/>
      <c r="E14" s="437">
        <f>(((-E13*5.6%)+17546842.9835684)/2)*(1+Índices_2021!F23)</f>
        <v>-36269920.440385707</v>
      </c>
      <c r="F14" s="438"/>
      <c r="G14" s="19"/>
      <c r="H14" s="369"/>
    </row>
    <row r="15" spans="1:21" ht="15" customHeight="1" x14ac:dyDescent="0.25">
      <c r="B15" s="449" t="s">
        <v>202</v>
      </c>
      <c r="C15" s="450"/>
      <c r="D15" s="450"/>
      <c r="E15" s="437">
        <f>(E14/2)</f>
        <v>-18134960.220192853</v>
      </c>
      <c r="F15" s="438"/>
      <c r="H15" s="369"/>
    </row>
    <row r="16" spans="1:21" ht="7.5" customHeight="1" x14ac:dyDescent="0.25">
      <c r="B16" s="327"/>
      <c r="C16" s="327"/>
      <c r="D16" s="327"/>
      <c r="E16" s="321"/>
      <c r="F16" s="321"/>
    </row>
    <row r="17" spans="2:8" x14ac:dyDescent="0.25">
      <c r="B17" s="448" t="s">
        <v>203</v>
      </c>
      <c r="C17" s="448"/>
      <c r="D17" s="448"/>
      <c r="E17" s="364">
        <f>(E19+E20)</f>
        <v>-44237282.745393768</v>
      </c>
      <c r="F17" s="341">
        <f>E17/'CF - 2022'!$C$11</f>
        <v>-0.15247567057943226</v>
      </c>
    </row>
    <row r="18" spans="2:8" ht="8.1" customHeight="1" x14ac:dyDescent="0.25">
      <c r="B18" s="325"/>
      <c r="C18" s="325"/>
      <c r="D18" s="325"/>
      <c r="E18" s="320"/>
      <c r="F18" s="326"/>
    </row>
    <row r="19" spans="2:8" ht="15" customHeight="1" x14ac:dyDescent="0.25">
      <c r="B19" s="444" t="s">
        <v>204</v>
      </c>
      <c r="C19" s="445"/>
      <c r="D19" s="445"/>
      <c r="E19" s="437">
        <f>(('RTP 2020'!E51*'RTP 2020'!E53)+14267555.5010562)/2*(1+Índices_2021!F23)</f>
        <v>-29491521.830262512</v>
      </c>
      <c r="F19" s="438"/>
      <c r="H19" s="369"/>
    </row>
    <row r="20" spans="2:8" x14ac:dyDescent="0.25">
      <c r="B20" s="444" t="s">
        <v>205</v>
      </c>
      <c r="C20" s="445"/>
      <c r="D20" s="445"/>
      <c r="E20" s="437">
        <f>E19/2</f>
        <v>-14745760.915131256</v>
      </c>
      <c r="F20" s="438"/>
      <c r="H20" s="369"/>
    </row>
    <row r="21" spans="2:8" ht="7.5" customHeight="1" x14ac:dyDescent="0.25">
      <c r="B21" s="327"/>
      <c r="C21" s="327"/>
      <c r="D21" s="327"/>
      <c r="E21" s="330"/>
      <c r="F21" s="322"/>
    </row>
    <row r="22" spans="2:8" ht="15" customHeight="1" x14ac:dyDescent="0.25">
      <c r="B22" s="448" t="s">
        <v>206</v>
      </c>
      <c r="C22" s="448"/>
      <c r="D22" s="448"/>
      <c r="E22" s="342">
        <f>(E24*E25)*(1+Índices_2021!F23)</f>
        <v>7293438.5297777578</v>
      </c>
      <c r="F22" s="341">
        <f>E22/'CF - 2022'!$C$11</f>
        <v>2.5138793832754733E-2</v>
      </c>
    </row>
    <row r="23" spans="2:8" ht="7.5" customHeight="1" x14ac:dyDescent="0.25">
      <c r="B23" s="325"/>
      <c r="C23" s="325"/>
      <c r="D23" s="325"/>
      <c r="E23" s="323"/>
      <c r="F23" s="326"/>
    </row>
    <row r="24" spans="2:8" ht="15" customHeight="1" x14ac:dyDescent="0.25">
      <c r="B24" s="444" t="s">
        <v>207</v>
      </c>
      <c r="C24" s="445"/>
      <c r="D24" s="445"/>
      <c r="E24" s="437">
        <v>1598320007.1444099</v>
      </c>
      <c r="F24" s="438"/>
    </row>
    <row r="25" spans="2:8" ht="15" customHeight="1" x14ac:dyDescent="0.25">
      <c r="B25" s="444" t="s">
        <v>208</v>
      </c>
      <c r="C25" s="445"/>
      <c r="D25" s="445"/>
      <c r="E25" s="442">
        <v>4.1460563927111496E-3</v>
      </c>
      <c r="F25" s="443"/>
    </row>
    <row r="26" spans="2:8" ht="7.5" customHeight="1" x14ac:dyDescent="0.25">
      <c r="B26" s="327"/>
      <c r="C26" s="327"/>
      <c r="D26" s="327"/>
      <c r="E26" s="324"/>
      <c r="F26" s="324"/>
    </row>
    <row r="27" spans="2:8" x14ac:dyDescent="0.25">
      <c r="B27" s="448" t="s">
        <v>209</v>
      </c>
      <c r="C27" s="448"/>
      <c r="D27" s="448"/>
      <c r="E27" s="342">
        <f>-'Tarifa de Contingência'!C28</f>
        <v>-10995832.99</v>
      </c>
      <c r="F27" s="341">
        <f>E27/'CF - 2022'!$C$11</f>
        <v>-3.7900090255979173E-2</v>
      </c>
    </row>
    <row r="28" spans="2:8" ht="7.5" customHeight="1" x14ac:dyDescent="0.25">
      <c r="B28" s="325"/>
      <c r="C28" s="325"/>
      <c r="D28" s="325"/>
      <c r="E28" s="323"/>
      <c r="F28" s="326"/>
    </row>
    <row r="29" spans="2:8" ht="15" customHeight="1" x14ac:dyDescent="0.25">
      <c r="B29" s="444" t="s">
        <v>116</v>
      </c>
      <c r="C29" s="445"/>
      <c r="D29" s="445"/>
      <c r="E29" s="437">
        <v>1731499719.27</v>
      </c>
      <c r="F29" s="438"/>
    </row>
    <row r="30" spans="2:8" s="345" customFormat="1" ht="15" customHeight="1" x14ac:dyDescent="0.25">
      <c r="B30" s="444" t="s">
        <v>210</v>
      </c>
      <c r="C30" s="445"/>
      <c r="D30" s="445"/>
      <c r="E30" s="437">
        <v>1771510184.8199999</v>
      </c>
      <c r="F30" s="438"/>
    </row>
    <row r="31" spans="2:8" ht="7.5" customHeight="1" x14ac:dyDescent="0.25">
      <c r="B31" s="331"/>
      <c r="C31" s="331"/>
      <c r="D31" s="331"/>
      <c r="E31" s="321"/>
      <c r="F31" s="321"/>
    </row>
    <row r="32" spans="2:8" ht="30" customHeight="1" x14ac:dyDescent="0.25">
      <c r="B32" s="451" t="s">
        <v>211</v>
      </c>
      <c r="C32" s="451"/>
      <c r="D32" s="451"/>
      <c r="E32" s="343">
        <f>E35-E34</f>
        <v>107241.72999999952</v>
      </c>
      <c r="F32" s="344">
        <f>E32/'CF - 2022'!$C$11</f>
        <v>3.696374117271247E-4</v>
      </c>
    </row>
    <row r="33" spans="2:6" ht="7.5" customHeight="1" x14ac:dyDescent="0.25">
      <c r="B33" s="331"/>
      <c r="C33" s="331"/>
      <c r="D33" s="331"/>
      <c r="E33" s="321"/>
      <c r="F33" s="321"/>
    </row>
    <row r="34" spans="2:6" ht="30" customHeight="1" x14ac:dyDescent="0.25">
      <c r="B34" s="439" t="s">
        <v>212</v>
      </c>
      <c r="C34" s="440"/>
      <c r="D34" s="440"/>
      <c r="E34" s="437">
        <v>7380411.1100000003</v>
      </c>
      <c r="F34" s="438"/>
    </row>
    <row r="35" spans="2:6" ht="30" customHeight="1" x14ac:dyDescent="0.25">
      <c r="B35" s="439" t="s">
        <v>213</v>
      </c>
      <c r="C35" s="440"/>
      <c r="D35" s="440"/>
      <c r="E35" s="437">
        <v>7487652.8399999999</v>
      </c>
      <c r="F35" s="438"/>
    </row>
    <row r="36" spans="2:6" ht="7.5" customHeight="1" x14ac:dyDescent="0.25">
      <c r="B36" s="331"/>
      <c r="C36" s="331"/>
      <c r="D36" s="331"/>
      <c r="E36" s="321"/>
      <c r="F36" s="321"/>
    </row>
    <row r="37" spans="2:6" ht="15" customHeight="1" x14ac:dyDescent="0.25">
      <c r="B37" s="446" t="s">
        <v>69</v>
      </c>
      <c r="C37" s="446"/>
      <c r="D37" s="446"/>
      <c r="E37" s="329">
        <f>SUM(E11,E17,E22,E27,E32)</f>
        <v>-102237316.13619456</v>
      </c>
      <c r="F37" s="367">
        <f>E37/'CF - 2022'!$C$11</f>
        <v>-0.35238835589943324</v>
      </c>
    </row>
    <row r="38" spans="2:6" ht="15" customHeight="1" x14ac:dyDescent="0.25">
      <c r="B38" s="13"/>
      <c r="F38" s="3"/>
    </row>
    <row r="39" spans="2:6" x14ac:dyDescent="0.25">
      <c r="B39" s="13"/>
    </row>
    <row r="40" spans="2:6" hidden="1" x14ac:dyDescent="0.25">
      <c r="B40" s="13"/>
    </row>
    <row r="41" spans="2:6" hidden="1" x14ac:dyDescent="0.25">
      <c r="D41" s="101"/>
      <c r="F41" s="26"/>
    </row>
    <row r="42" spans="2:6" hidden="1" x14ac:dyDescent="0.25">
      <c r="D42" s="101"/>
      <c r="E42" s="3"/>
      <c r="F42" s="26"/>
    </row>
    <row r="43" spans="2:6" hidden="1" x14ac:dyDescent="0.25">
      <c r="D43" s="19"/>
      <c r="E43" s="3"/>
      <c r="F43" s="26"/>
    </row>
    <row r="44" spans="2:6" hidden="1" x14ac:dyDescent="0.25">
      <c r="D44" s="3"/>
      <c r="E44" s="3"/>
      <c r="F44" s="26"/>
    </row>
    <row r="45" spans="2:6" hidden="1" x14ac:dyDescent="0.25">
      <c r="B45" s="13"/>
      <c r="F45" s="26"/>
    </row>
    <row r="46" spans="2:6" hidden="1" x14ac:dyDescent="0.25">
      <c r="B46" s="13"/>
      <c r="F46" s="187"/>
    </row>
    <row r="47" spans="2:6" hidden="1" x14ac:dyDescent="0.25">
      <c r="B47" s="13"/>
      <c r="F47" s="187"/>
    </row>
    <row r="48" spans="2:6" hidden="1" x14ac:dyDescent="0.25">
      <c r="B48" s="13"/>
      <c r="F48" s="26"/>
    </row>
    <row r="49" spans="2:6" hidden="1" x14ac:dyDescent="0.25">
      <c r="B49" s="26"/>
      <c r="C49" s="26"/>
      <c r="D49" s="26"/>
      <c r="E49" s="26"/>
    </row>
    <row r="50" spans="2:6" hidden="1" x14ac:dyDescent="0.25">
      <c r="B50" s="26"/>
      <c r="C50" s="26"/>
      <c r="D50" s="26"/>
      <c r="E50" s="26"/>
    </row>
    <row r="51" spans="2:6" hidden="1" x14ac:dyDescent="0.25">
      <c r="B51" s="26"/>
      <c r="C51" s="26"/>
      <c r="D51" s="26"/>
      <c r="E51" s="26"/>
      <c r="F51" s="26"/>
    </row>
    <row r="52" spans="2:6" hidden="1" x14ac:dyDescent="0.25">
      <c r="B52" s="26"/>
      <c r="C52" s="26"/>
      <c r="D52" s="26"/>
      <c r="E52" s="26"/>
      <c r="F52" s="26"/>
    </row>
    <row r="53" spans="2:6" hidden="1" x14ac:dyDescent="0.25">
      <c r="B53" s="26"/>
      <c r="C53" s="26"/>
      <c r="D53" s="26"/>
      <c r="E53" s="26"/>
      <c r="F53" s="26"/>
    </row>
    <row r="54" spans="2:6" hidden="1" x14ac:dyDescent="0.25">
      <c r="B54" s="26"/>
      <c r="C54" s="26"/>
      <c r="D54" s="26"/>
      <c r="E54" s="26"/>
      <c r="F54" s="26"/>
    </row>
    <row r="55" spans="2:6" hidden="1" x14ac:dyDescent="0.25">
      <c r="B55" s="26"/>
      <c r="C55" s="26"/>
      <c r="D55" s="26"/>
      <c r="E55" s="26"/>
      <c r="F55" s="26"/>
    </row>
    <row r="56" spans="2:6" hidden="1" x14ac:dyDescent="0.25">
      <c r="B56" s="26"/>
      <c r="C56" s="26"/>
      <c r="D56" s="26"/>
      <c r="E56" s="26"/>
      <c r="F56" s="26"/>
    </row>
    <row r="57" spans="2:6" hidden="1" x14ac:dyDescent="0.25">
      <c r="B57" s="26"/>
      <c r="C57" s="26"/>
      <c r="D57" s="26"/>
      <c r="E57" s="26"/>
      <c r="F57" s="26"/>
    </row>
    <row r="58" spans="2:6" hidden="1" x14ac:dyDescent="0.25">
      <c r="F58" s="26"/>
    </row>
    <row r="59" spans="2:6" hidden="1" x14ac:dyDescent="0.25">
      <c r="F59" s="26"/>
    </row>
    <row r="64" spans="2:6" x14ac:dyDescent="0.25"/>
    <row r="78" x14ac:dyDescent="0.25"/>
  </sheetData>
  <mergeCells count="30">
    <mergeCell ref="B37:D37"/>
    <mergeCell ref="B10:D10"/>
    <mergeCell ref="B11:D11"/>
    <mergeCell ref="B17:D17"/>
    <mergeCell ref="B22:D22"/>
    <mergeCell ref="B27:D27"/>
    <mergeCell ref="B13:D13"/>
    <mergeCell ref="B29:D29"/>
    <mergeCell ref="B30:D30"/>
    <mergeCell ref="B24:D24"/>
    <mergeCell ref="B25:D25"/>
    <mergeCell ref="B20:D20"/>
    <mergeCell ref="B32:D32"/>
    <mergeCell ref="B34:D34"/>
    <mergeCell ref="B14:D14"/>
    <mergeCell ref="B15:D15"/>
    <mergeCell ref="E34:F34"/>
    <mergeCell ref="B35:D35"/>
    <mergeCell ref="E35:F35"/>
    <mergeCell ref="B9:F9"/>
    <mergeCell ref="E20:F20"/>
    <mergeCell ref="E13:F13"/>
    <mergeCell ref="E29:F29"/>
    <mergeCell ref="E30:F30"/>
    <mergeCell ref="E24:F24"/>
    <mergeCell ref="E25:F25"/>
    <mergeCell ref="E15:F15"/>
    <mergeCell ref="E14:F14"/>
    <mergeCell ref="B19:D19"/>
    <mergeCell ref="E19:F19"/>
  </mergeCells>
  <phoneticPr fontId="3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6CC13-271A-4968-B9FB-483B4ECBC67D}">
  <sheetPr codeName="Planilha14">
    <tabColor theme="8" tint="-0.249977111117893"/>
  </sheetPr>
  <dimension ref="A1:S41"/>
  <sheetViews>
    <sheetView showGridLines="0" showRowColHeaders="0" topLeftCell="E1" zoomScale="90" zoomScaleNormal="90" workbookViewId="0"/>
  </sheetViews>
  <sheetFormatPr defaultColWidth="0" defaultRowHeight="15" zeroHeight="1" x14ac:dyDescent="0.25"/>
  <cols>
    <col min="1" max="1" width="4.85546875" style="9" customWidth="1"/>
    <col min="2" max="2" width="37.5703125" style="9" customWidth="1"/>
    <col min="3" max="3" width="19.28515625" style="9" customWidth="1"/>
    <col min="4" max="4" width="17" style="9" customWidth="1"/>
    <col min="5" max="5" width="15.7109375" style="9" customWidth="1"/>
    <col min="6" max="6" width="17.7109375" style="9" customWidth="1"/>
    <col min="7" max="7" width="9.42578125" customWidth="1"/>
    <col min="8" max="8" width="13" customWidth="1"/>
    <col min="9" max="9" width="14.28515625" bestFit="1" customWidth="1"/>
    <col min="10" max="10" width="6.85546875" bestFit="1" customWidth="1"/>
    <col min="11" max="11" width="15.7109375" customWidth="1"/>
    <col min="12" max="12" width="15.140625" customWidth="1"/>
    <col min="13" max="15" width="9.140625" customWidth="1"/>
    <col min="16" max="16" width="7.42578125" customWidth="1"/>
    <col min="17" max="18" width="9.140625" customWidth="1"/>
    <col min="19" max="19" width="27" customWidth="1"/>
    <col min="20" max="16384" width="9.140625" hidden="1"/>
  </cols>
  <sheetData>
    <row r="1" spans="1:19" s="9" customFormat="1" ht="3" customHeight="1" x14ac:dyDescent="0.2"/>
    <row r="2" spans="1:19" s="9" customFormat="1" ht="14.25" x14ac:dyDescent="0.2"/>
    <row r="3" spans="1:19" s="9" customFormat="1" ht="18" x14ac:dyDescent="0.2">
      <c r="A3" s="299"/>
      <c r="B3" s="454"/>
      <c r="C3" s="454"/>
      <c r="D3" s="454"/>
      <c r="E3" s="454"/>
      <c r="F3" s="454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s="9" customFormat="1" ht="14.25" x14ac:dyDescent="0.2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</row>
    <row r="5" spans="1:19" s="9" customFormat="1" ht="20.100000000000001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</row>
    <row r="6" spans="1:19" s="9" customFormat="1" ht="14.25" x14ac:dyDescent="0.2"/>
    <row r="7" spans="1:19" s="10" customFormat="1" ht="18.75" x14ac:dyDescent="0.25">
      <c r="B7" s="289" t="s">
        <v>214</v>
      </c>
      <c r="C7" s="289"/>
      <c r="D7" s="289"/>
      <c r="E7" s="289"/>
      <c r="F7" s="289"/>
    </row>
    <row r="8" spans="1:19" s="11" customFormat="1" ht="14.25" x14ac:dyDescent="0.2">
      <c r="B8" s="9"/>
      <c r="C8" s="9"/>
      <c r="D8" s="9"/>
      <c r="E8" s="9"/>
      <c r="F8" s="12"/>
    </row>
    <row r="9" spans="1:19" s="11" customFormat="1" x14ac:dyDescent="0.2">
      <c r="A9" s="191"/>
      <c r="B9" s="455"/>
      <c r="C9" s="455"/>
      <c r="D9" s="455"/>
      <c r="E9" s="158"/>
      <c r="F9" s="279"/>
      <c r="G9" s="455"/>
      <c r="H9" s="455"/>
      <c r="I9" s="455"/>
    </row>
    <row r="10" spans="1:19" s="11" customFormat="1" ht="30.75" customHeight="1" x14ac:dyDescent="0.25">
      <c r="A10" s="191"/>
      <c r="B10" s="374" t="s">
        <v>215</v>
      </c>
      <c r="C10" s="375" t="s">
        <v>216</v>
      </c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</row>
    <row r="11" spans="1:19" s="11" customFormat="1" ht="15" customHeight="1" x14ac:dyDescent="0.25">
      <c r="A11" s="191"/>
      <c r="B11" s="356" t="s">
        <v>217</v>
      </c>
      <c r="C11" s="357">
        <v>846964.86</v>
      </c>
      <c r="D11" s="376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</row>
    <row r="12" spans="1:19" s="11" customFormat="1" ht="15" customHeight="1" x14ac:dyDescent="0.25">
      <c r="A12" s="191"/>
      <c r="B12" s="356" t="s">
        <v>218</v>
      </c>
      <c r="C12" s="357">
        <v>4944315.0599999996</v>
      </c>
      <c r="D12" s="376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</row>
    <row r="13" spans="1:19" s="11" customFormat="1" ht="15" customHeight="1" x14ac:dyDescent="0.25">
      <c r="A13" s="191"/>
      <c r="B13" s="356" t="s">
        <v>219</v>
      </c>
      <c r="C13" s="357">
        <v>21141.15</v>
      </c>
      <c r="D13" s="376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</row>
    <row r="14" spans="1:19" s="11" customFormat="1" ht="15" customHeight="1" x14ac:dyDescent="0.25">
      <c r="A14" s="191"/>
      <c r="B14" s="356" t="s">
        <v>220</v>
      </c>
      <c r="C14" s="357">
        <v>1527511.5</v>
      </c>
      <c r="D14" s="376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</row>
    <row r="15" spans="1:19" s="11" customFormat="1" ht="15" customHeight="1" x14ac:dyDescent="0.25">
      <c r="A15" s="191"/>
      <c r="B15" s="356" t="s">
        <v>221</v>
      </c>
      <c r="C15" s="357">
        <v>7228.93</v>
      </c>
      <c r="D15" s="376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</row>
    <row r="16" spans="1:19" s="9" customFormat="1" ht="15" customHeight="1" x14ac:dyDescent="0.25">
      <c r="A16" s="192"/>
      <c r="B16" s="356" t="s">
        <v>222</v>
      </c>
      <c r="C16" s="357">
        <v>196.84</v>
      </c>
      <c r="D16" s="376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</row>
    <row r="17" spans="1:17" s="12" customFormat="1" ht="15" customHeight="1" x14ac:dyDescent="0.25">
      <c r="A17" s="282"/>
      <c r="B17" s="356" t="s">
        <v>223</v>
      </c>
      <c r="C17" s="357">
        <v>1110038.1299999999</v>
      </c>
      <c r="D17" s="376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</row>
    <row r="18" spans="1:17" s="12" customFormat="1" ht="15" customHeight="1" x14ac:dyDescent="0.25">
      <c r="A18" s="282"/>
      <c r="B18" s="356" t="s">
        <v>224</v>
      </c>
      <c r="C18" s="357">
        <v>37208.379999999997</v>
      </c>
      <c r="D18" s="376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</row>
    <row r="19" spans="1:17" s="9" customFormat="1" ht="15" customHeight="1" x14ac:dyDescent="0.25">
      <c r="A19" s="192"/>
      <c r="B19" s="356" t="s">
        <v>225</v>
      </c>
      <c r="C19" s="357">
        <v>57701.74</v>
      </c>
      <c r="D19" s="376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</row>
    <row r="20" spans="1:17" s="9" customFormat="1" ht="15" customHeight="1" x14ac:dyDescent="0.25">
      <c r="A20" s="192"/>
      <c r="B20" s="356" t="s">
        <v>226</v>
      </c>
      <c r="C20" s="357">
        <v>572458.54</v>
      </c>
      <c r="D20" s="376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</row>
    <row r="21" spans="1:17" s="9" customFormat="1" ht="15" customHeight="1" x14ac:dyDescent="0.25">
      <c r="A21" s="192"/>
      <c r="B21" s="356" t="s">
        <v>227</v>
      </c>
      <c r="C21" s="357">
        <v>81128.259999999995</v>
      </c>
      <c r="D21" s="376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</row>
    <row r="22" spans="1:17" s="9" customFormat="1" ht="15" customHeight="1" x14ac:dyDescent="0.25">
      <c r="A22" s="192"/>
      <c r="B22" s="356" t="s">
        <v>228</v>
      </c>
      <c r="C22" s="357">
        <v>104980.38</v>
      </c>
      <c r="D22" s="376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</row>
    <row r="23" spans="1:17" s="9" customFormat="1" ht="15" customHeight="1" x14ac:dyDescent="0.25">
      <c r="A23" s="192"/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</row>
    <row r="24" spans="1:17" s="9" customFormat="1" ht="18" customHeight="1" x14ac:dyDescent="0.25">
      <c r="A24" s="192"/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</row>
    <row r="25" spans="1:17" s="9" customFormat="1" ht="15" customHeight="1" x14ac:dyDescent="0.25">
      <c r="A25" s="192"/>
      <c r="B25" s="452" t="s">
        <v>229</v>
      </c>
      <c r="C25" s="453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</row>
    <row r="26" spans="1:17" s="9" customFormat="1" ht="15" customHeight="1" x14ac:dyDescent="0.25">
      <c r="A26" s="192"/>
      <c r="B26" s="356" t="s">
        <v>215</v>
      </c>
      <c r="C26" s="357">
        <f>SUM(C11:C22)</f>
        <v>9310873.7699999996</v>
      </c>
      <c r="D26" s="368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</row>
    <row r="27" spans="1:17" s="9" customFormat="1" ht="15" customHeight="1" x14ac:dyDescent="0.25">
      <c r="A27" s="192"/>
      <c r="B27" s="356" t="s">
        <v>230</v>
      </c>
      <c r="C27" s="357">
        <v>1684959.22</v>
      </c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</row>
    <row r="28" spans="1:17" s="9" customFormat="1" x14ac:dyDescent="0.25">
      <c r="A28" s="192"/>
      <c r="B28" s="354" t="s">
        <v>69</v>
      </c>
      <c r="C28" s="358">
        <f>SUM(C26:C27)</f>
        <v>10995832.99</v>
      </c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</row>
    <row r="29" spans="1:17" s="9" customFormat="1" ht="15" customHeight="1" x14ac:dyDescent="0.25">
      <c r="A29" s="192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</row>
    <row r="30" spans="1:17" s="9" customFormat="1" ht="15" customHeight="1" x14ac:dyDescent="0.25">
      <c r="A30" s="192"/>
      <c r="B30" s="355"/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</row>
    <row r="31" spans="1:17" s="12" customFormat="1" ht="19.5" customHeight="1" x14ac:dyDescent="0.25">
      <c r="A31" s="282"/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</row>
    <row r="32" spans="1:17" ht="20.45" customHeight="1" x14ac:dyDescent="0.25">
      <c r="A32" s="191"/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</row>
    <row r="33" spans="1:17" ht="19.5" customHeight="1" x14ac:dyDescent="0.25">
      <c r="A33" s="191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</row>
    <row r="34" spans="1:17" ht="19.5" customHeight="1" x14ac:dyDescent="0.25">
      <c r="A34" s="1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</row>
    <row r="35" spans="1:17" x14ac:dyDescent="0.25">
      <c r="A35" s="1"/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</row>
    <row r="36" spans="1:17" ht="19.5" hidden="1" x14ac:dyDescent="0.25">
      <c r="A36" s="1"/>
      <c r="G36" s="95"/>
      <c r="H36" s="96"/>
      <c r="I36" s="96"/>
    </row>
    <row r="37" spans="1:17" ht="19.5" hidden="1" x14ac:dyDescent="0.25">
      <c r="A37" s="1"/>
      <c r="I37" s="96"/>
    </row>
    <row r="38" spans="1:17" hidden="1" x14ac:dyDescent="0.25">
      <c r="A38" s="1"/>
      <c r="J38" s="95"/>
    </row>
    <row r="39" spans="1:17" hidden="1" x14ac:dyDescent="0.25">
      <c r="A39" s="1"/>
      <c r="J39" s="99"/>
      <c r="K39" s="34"/>
    </row>
    <row r="40" spans="1:17" ht="21" hidden="1" customHeight="1" x14ac:dyDescent="0.25">
      <c r="A40" s="1"/>
      <c r="J40" s="100"/>
      <c r="K40" s="105"/>
    </row>
    <row r="41" spans="1:17" ht="21.75" hidden="1" customHeight="1" x14ac:dyDescent="0.25">
      <c r="K41" s="105"/>
    </row>
  </sheetData>
  <mergeCells count="4">
    <mergeCell ref="B25:C25"/>
    <mergeCell ref="B3:F3"/>
    <mergeCell ref="B9:D9"/>
    <mergeCell ref="G9:I9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3" tint="-0.499984740745262"/>
  </sheetPr>
  <dimension ref="A1:S41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11.28515625" style="9" customWidth="1"/>
    <col min="2" max="2" width="33.28515625" style="9" customWidth="1"/>
    <col min="3" max="3" width="15.42578125" style="9" customWidth="1"/>
    <col min="4" max="4" width="17" style="9" customWidth="1"/>
    <col min="5" max="5" width="4.140625" style="9" customWidth="1"/>
    <col min="6" max="6" width="4.7109375" style="9" customWidth="1"/>
    <col min="7" max="7" width="59.5703125" bestFit="1" customWidth="1"/>
    <col min="8" max="8" width="13" customWidth="1"/>
    <col min="9" max="9" width="14.28515625" bestFit="1" customWidth="1"/>
    <col min="10" max="10" width="6.85546875" bestFit="1" customWidth="1"/>
    <col min="11" max="11" width="15.7109375" customWidth="1"/>
    <col min="12" max="12" width="17.42578125" bestFit="1" customWidth="1"/>
    <col min="13" max="14" width="9.140625" customWidth="1"/>
    <col min="15" max="15" width="8.5703125" customWidth="1"/>
    <col min="16" max="16" width="5.140625" customWidth="1"/>
    <col min="17" max="17" width="4.85546875" customWidth="1"/>
    <col min="18" max="18" width="9.140625" customWidth="1"/>
    <col min="19" max="19" width="2.28515625" customWidth="1"/>
    <col min="20" max="16384" width="9.140625" hidden="1"/>
  </cols>
  <sheetData>
    <row r="1" spans="1:19" s="9" customFormat="1" ht="3" customHeight="1" x14ac:dyDescent="0.2"/>
    <row r="2" spans="1:19" s="9" customFormat="1" ht="14.25" customHeight="1" x14ac:dyDescent="0.2"/>
    <row r="3" spans="1:19" s="9" customFormat="1" ht="18" customHeight="1" x14ac:dyDescent="0.2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s="9" customFormat="1" ht="14.25" customHeight="1" x14ac:dyDescent="0.2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</row>
    <row r="5" spans="1:19" s="9" customFormat="1" ht="20.100000000000001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</row>
    <row r="6" spans="1:19" s="9" customFormat="1" ht="14.25" x14ac:dyDescent="0.2"/>
    <row r="7" spans="1:19" s="10" customFormat="1" ht="18.75" x14ac:dyDescent="0.25">
      <c r="B7" s="289" t="s">
        <v>231</v>
      </c>
      <c r="C7" s="289"/>
      <c r="D7" s="289"/>
      <c r="E7" s="289"/>
      <c r="F7" s="289"/>
    </row>
    <row r="8" spans="1:19" s="11" customFormat="1" ht="14.25" x14ac:dyDescent="0.2">
      <c r="B8" s="9"/>
      <c r="C8" s="9"/>
      <c r="D8" s="9"/>
      <c r="E8" s="9"/>
      <c r="F8" s="12"/>
    </row>
    <row r="9" spans="1:19" s="11" customFormat="1" ht="17.100000000000001" customHeight="1" x14ac:dyDescent="0.2">
      <c r="B9" s="456" t="s">
        <v>232</v>
      </c>
      <c r="C9" s="456"/>
      <c r="D9" s="456"/>
      <c r="E9" s="158"/>
      <c r="F9" s="27"/>
      <c r="G9" s="456" t="s">
        <v>233</v>
      </c>
      <c r="H9" s="456"/>
      <c r="I9" s="456"/>
    </row>
    <row r="10" spans="1:19" s="11" customFormat="1" ht="17.100000000000001" customHeight="1" x14ac:dyDescent="0.35">
      <c r="B10" s="290" t="s">
        <v>234</v>
      </c>
      <c r="C10" s="291" t="s">
        <v>235</v>
      </c>
      <c r="D10" s="296">
        <f>I10/I16</f>
        <v>0.30889502166810512</v>
      </c>
      <c r="E10" s="195"/>
      <c r="F10" s="35"/>
      <c r="G10" s="292" t="s">
        <v>236</v>
      </c>
      <c r="H10" s="293" t="s">
        <v>237</v>
      </c>
      <c r="I10" s="297">
        <v>95812695.277103812</v>
      </c>
    </row>
    <row r="11" spans="1:19" s="11" customFormat="1" ht="17.100000000000001" customHeight="1" x14ac:dyDescent="0.35">
      <c r="B11" s="290" t="s">
        <v>238</v>
      </c>
      <c r="C11" s="291" t="s">
        <v>239</v>
      </c>
      <c r="D11" s="296">
        <f>I11/I16</f>
        <v>3.8173228574230819E-2</v>
      </c>
      <c r="E11" s="195"/>
      <c r="F11" s="35"/>
      <c r="G11" s="292" t="s">
        <v>240</v>
      </c>
      <c r="H11" s="293" t="s">
        <v>241</v>
      </c>
      <c r="I11" s="297">
        <v>11840527.236000001</v>
      </c>
    </row>
    <row r="12" spans="1:19" s="11" customFormat="1" ht="17.100000000000001" customHeight="1" x14ac:dyDescent="0.35">
      <c r="B12" s="290" t="s">
        <v>242</v>
      </c>
      <c r="C12" s="291" t="s">
        <v>144</v>
      </c>
      <c r="D12" s="296">
        <f>I12/I16</f>
        <v>4.9697293506796534</v>
      </c>
      <c r="E12" s="195"/>
      <c r="F12" s="35"/>
      <c r="G12" s="292" t="s">
        <v>243</v>
      </c>
      <c r="H12" s="293" t="s">
        <v>244</v>
      </c>
      <c r="I12" s="297">
        <v>1541504817.1218705</v>
      </c>
    </row>
    <row r="13" spans="1:19" s="11" customFormat="1" ht="17.100000000000001" customHeight="1" x14ac:dyDescent="0.35">
      <c r="B13" s="301" t="s">
        <v>245</v>
      </c>
      <c r="C13" s="302" t="s">
        <v>246</v>
      </c>
      <c r="D13" s="303">
        <f>I13/I16+I14/I17</f>
        <v>-0.19889598473305964</v>
      </c>
      <c r="E13" s="195"/>
      <c r="F13" s="35"/>
      <c r="G13" s="292" t="s">
        <v>247</v>
      </c>
      <c r="H13" s="293" t="s">
        <v>248</v>
      </c>
      <c r="I13" s="298">
        <v>-29423676.225332022</v>
      </c>
    </row>
    <row r="14" spans="1:19" s="11" customFormat="1" ht="17.100000000000001" customHeight="1" x14ac:dyDescent="0.2">
      <c r="B14" s="457" t="s">
        <v>249</v>
      </c>
      <c r="C14" s="458"/>
      <c r="D14" s="360">
        <f>SUM(D10:D13)</f>
        <v>5.1179016161889299</v>
      </c>
      <c r="E14" s="194"/>
      <c r="F14" s="9"/>
      <c r="G14" s="294" t="s">
        <v>250</v>
      </c>
      <c r="H14" s="293" t="s">
        <v>248</v>
      </c>
      <c r="I14" s="298">
        <v>-27935606.135564726</v>
      </c>
    </row>
    <row r="15" spans="1:19" s="11" customFormat="1" ht="17.100000000000001" customHeight="1" x14ac:dyDescent="0.2">
      <c r="B15" s="41"/>
      <c r="C15" s="40"/>
      <c r="D15" s="40"/>
      <c r="E15" s="196"/>
      <c r="F15" s="9"/>
      <c r="G15" s="294" t="s">
        <v>251</v>
      </c>
      <c r="H15" s="295" t="s">
        <v>252</v>
      </c>
      <c r="I15" s="298">
        <v>1591798757.2740774</v>
      </c>
    </row>
    <row r="16" spans="1:19" s="9" customFormat="1" ht="17.100000000000001" customHeight="1" x14ac:dyDescent="0.2">
      <c r="B16" s="456" t="s">
        <v>253</v>
      </c>
      <c r="C16" s="456"/>
      <c r="D16" s="456"/>
      <c r="E16" s="158"/>
      <c r="G16" s="294" t="s">
        <v>254</v>
      </c>
      <c r="H16" s="295" t="s">
        <v>152</v>
      </c>
      <c r="I16" s="298">
        <v>310178826.31999999</v>
      </c>
    </row>
    <row r="17" spans="1:17" s="12" customFormat="1" ht="17.100000000000001" customHeight="1" x14ac:dyDescent="0.35">
      <c r="B17" s="290" t="s">
        <v>255</v>
      </c>
      <c r="C17" s="291" t="s">
        <v>235</v>
      </c>
      <c r="D17" s="296">
        <f>I10/I16</f>
        <v>0.30889502166810512</v>
      </c>
      <c r="E17" s="195"/>
      <c r="F17" s="33"/>
      <c r="G17" s="294" t="s">
        <v>256</v>
      </c>
      <c r="H17" s="295" t="s">
        <v>152</v>
      </c>
      <c r="I17" s="298">
        <v>268519626.38999999</v>
      </c>
    </row>
    <row r="18" spans="1:17" s="12" customFormat="1" ht="17.100000000000001" customHeight="1" x14ac:dyDescent="0.35">
      <c r="B18" s="290" t="s">
        <v>257</v>
      </c>
      <c r="C18" s="291" t="s">
        <v>239</v>
      </c>
      <c r="D18" s="296">
        <f>I11/I16</f>
        <v>3.8173228574230819E-2</v>
      </c>
      <c r="E18" s="195"/>
      <c r="F18" s="18"/>
      <c r="G18" s="146" t="s">
        <v>258</v>
      </c>
      <c r="H18" s="103"/>
      <c r="I18" s="104"/>
    </row>
    <row r="19" spans="1:17" s="9" customFormat="1" ht="17.100000000000001" customHeight="1" x14ac:dyDescent="0.35">
      <c r="B19" s="290" t="s">
        <v>259</v>
      </c>
      <c r="C19" s="291" t="s">
        <v>144</v>
      </c>
      <c r="D19" s="296">
        <f>I12/I16</f>
        <v>4.9697293506796534</v>
      </c>
      <c r="E19" s="195"/>
      <c r="F19" s="22"/>
      <c r="G19" s="318" t="s">
        <v>260</v>
      </c>
      <c r="H19" s="103"/>
      <c r="I19" s="104"/>
      <c r="K19" s="89"/>
    </row>
    <row r="20" spans="1:17" s="9" customFormat="1" ht="17.100000000000001" customHeight="1" x14ac:dyDescent="0.35">
      <c r="B20" s="301" t="s">
        <v>261</v>
      </c>
      <c r="C20" s="302" t="s">
        <v>246</v>
      </c>
      <c r="D20" s="303">
        <f>I13/I16</f>
        <v>-9.4860363534217215E-2</v>
      </c>
      <c r="E20" s="195"/>
      <c r="F20" s="93"/>
      <c r="K20" s="89"/>
    </row>
    <row r="21" spans="1:17" s="9" customFormat="1" ht="17.100000000000001" customHeight="1" x14ac:dyDescent="0.2">
      <c r="B21" s="457" t="s">
        <v>249</v>
      </c>
      <c r="C21" s="458"/>
      <c r="D21" s="360">
        <f>SUM(D17:D20)</f>
        <v>5.2219372373877722</v>
      </c>
      <c r="E21" s="194"/>
      <c r="F21" s="93"/>
      <c r="G21" s="456" t="s">
        <v>262</v>
      </c>
      <c r="H21" s="456"/>
      <c r="I21" s="456"/>
      <c r="K21" s="89"/>
    </row>
    <row r="22" spans="1:17" s="9" customFormat="1" ht="17.100000000000001" customHeight="1" x14ac:dyDescent="0.2">
      <c r="E22" s="192"/>
      <c r="F22" s="88"/>
      <c r="G22" s="292" t="s">
        <v>236</v>
      </c>
      <c r="H22" s="293" t="s">
        <v>263</v>
      </c>
      <c r="I22" s="297">
        <f>'VPA 2022'!C34</f>
        <v>96831747.127700493</v>
      </c>
      <c r="K22" s="89"/>
    </row>
    <row r="23" spans="1:17" s="9" customFormat="1" ht="17.100000000000001" customHeight="1" x14ac:dyDescent="0.2">
      <c r="B23" s="456" t="s">
        <v>264</v>
      </c>
      <c r="C23" s="456"/>
      <c r="D23" s="456"/>
      <c r="E23" s="158"/>
      <c r="F23" s="1"/>
      <c r="G23" s="292" t="s">
        <v>240</v>
      </c>
      <c r="H23" s="293" t="s">
        <v>57</v>
      </c>
      <c r="I23" s="297">
        <f>'Bônus-Desconto'!K16</f>
        <v>11572455.893999999</v>
      </c>
    </row>
    <row r="24" spans="1:17" s="9" customFormat="1" ht="17.100000000000001" customHeight="1" x14ac:dyDescent="0.35">
      <c r="B24" s="290" t="s">
        <v>255</v>
      </c>
      <c r="C24" s="291" t="s">
        <v>119</v>
      </c>
      <c r="D24" s="296">
        <f>I22/I27</f>
        <v>0.33375661117457556</v>
      </c>
      <c r="E24" s="195"/>
      <c r="F24" s="1"/>
      <c r="G24" s="292" t="s">
        <v>243</v>
      </c>
      <c r="H24" s="293" t="s">
        <v>265</v>
      </c>
      <c r="I24" s="297">
        <f>'VPB 2022 '!C27*'RTA 2022'!I27</f>
        <v>1621974996.5636597</v>
      </c>
    </row>
    <row r="25" spans="1:17" s="9" customFormat="1" ht="17.100000000000001" customHeight="1" x14ac:dyDescent="0.35">
      <c r="B25" s="290" t="s">
        <v>257</v>
      </c>
      <c r="C25" s="291" t="s">
        <v>266</v>
      </c>
      <c r="D25" s="296">
        <f>I23/I27</f>
        <v>3.9887575890322623E-2</v>
      </c>
      <c r="E25" s="195"/>
      <c r="F25" s="1"/>
      <c r="G25" s="292" t="s">
        <v>267</v>
      </c>
      <c r="H25" s="293" t="s">
        <v>248</v>
      </c>
      <c r="I25" s="297">
        <f>'CF - 2022'!C10</f>
        <v>-102246412.06225562</v>
      </c>
      <c r="K25" s="98"/>
      <c r="L25" s="98"/>
      <c r="M25" s="98"/>
    </row>
    <row r="26" spans="1:17" s="9" customFormat="1" ht="17.100000000000001" customHeight="1" x14ac:dyDescent="0.35">
      <c r="B26" s="290" t="s">
        <v>259</v>
      </c>
      <c r="C26" s="291" t="s">
        <v>145</v>
      </c>
      <c r="D26" s="296">
        <f>I24/I27</f>
        <v>5.5905722484699361</v>
      </c>
      <c r="E26" s="195"/>
      <c r="F26" s="1"/>
      <c r="G26" s="294" t="s">
        <v>251</v>
      </c>
      <c r="H26" s="295" t="s">
        <v>252</v>
      </c>
      <c r="I26" s="298">
        <f>SUM(I22:I25)</f>
        <v>1628132787.5231044</v>
      </c>
      <c r="K26" s="89"/>
      <c r="L26" s="98"/>
    </row>
    <row r="27" spans="1:17" s="9" customFormat="1" ht="17.100000000000001" customHeight="1" x14ac:dyDescent="0.35">
      <c r="B27" s="301" t="s">
        <v>261</v>
      </c>
      <c r="C27" s="302" t="s">
        <v>268</v>
      </c>
      <c r="D27" s="303">
        <f>I25/I27</f>
        <v>-0.35241970745042439</v>
      </c>
      <c r="E27" s="195"/>
      <c r="F27" s="1"/>
      <c r="G27" s="294" t="s">
        <v>269</v>
      </c>
      <c r="H27" s="295" t="s">
        <v>270</v>
      </c>
      <c r="I27" s="298">
        <f>'VPA 2022'!C16</f>
        <v>290126828.61000001</v>
      </c>
      <c r="K27" s="89"/>
      <c r="L27" s="98"/>
    </row>
    <row r="28" spans="1:17" s="9" customFormat="1" ht="17.100000000000001" customHeight="1" x14ac:dyDescent="0.2">
      <c r="B28" s="457" t="s">
        <v>271</v>
      </c>
      <c r="C28" s="458"/>
      <c r="D28" s="360">
        <f>SUM(D24:D27)</f>
        <v>5.6117967280844097</v>
      </c>
      <c r="E28" s="194"/>
      <c r="F28" s="1"/>
      <c r="G28" s="102"/>
      <c r="H28" s="103"/>
      <c r="I28" s="104"/>
      <c r="L28" s="98"/>
    </row>
    <row r="29" spans="1:17" s="9" customFormat="1" ht="17.100000000000001" customHeight="1" x14ac:dyDescent="0.25">
      <c r="B29" s="278"/>
      <c r="C29" s="278"/>
      <c r="D29" s="194"/>
      <c r="E29" s="194"/>
      <c r="F29" s="191"/>
      <c r="G29"/>
      <c r="H29" s="3"/>
      <c r="I29" s="87"/>
      <c r="J29" s="89"/>
      <c r="K29" s="94"/>
      <c r="L29" s="98"/>
      <c r="O29" s="23"/>
      <c r="P29" s="24"/>
      <c r="Q29" s="21"/>
    </row>
    <row r="30" spans="1:17" s="9" customFormat="1" ht="17.100000000000001" customHeight="1" x14ac:dyDescent="0.25">
      <c r="B30" s="387" t="s">
        <v>272</v>
      </c>
      <c r="C30" s="388"/>
      <c r="D30" s="389"/>
      <c r="E30" s="194"/>
      <c r="F30"/>
      <c r="G30"/>
      <c r="H30" s="382"/>
      <c r="I30" s="380"/>
    </row>
    <row r="31" spans="1:17" s="12" customFormat="1" ht="17.100000000000001" customHeight="1" x14ac:dyDescent="0.25">
      <c r="B31" s="459" t="s">
        <v>273</v>
      </c>
      <c r="C31" s="460"/>
      <c r="D31" s="361">
        <f>D28/D14-1</f>
        <v>9.650344006871725E-2</v>
      </c>
      <c r="E31" s="193"/>
      <c r="F31" s="100"/>
      <c r="G31"/>
      <c r="H31"/>
      <c r="I31" s="378"/>
      <c r="J31" s="90"/>
      <c r="K31"/>
    </row>
    <row r="32" spans="1:17" ht="17.100000000000001" customHeight="1" x14ac:dyDescent="0.25">
      <c r="A32" s="1"/>
      <c r="B32" s="459" t="s">
        <v>274</v>
      </c>
      <c r="C32" s="460"/>
      <c r="D32" s="362">
        <f>D28/D21-1</f>
        <v>7.4658019231893524E-2</v>
      </c>
      <c r="E32" s="193"/>
      <c r="F32" s="95"/>
    </row>
    <row r="33" spans="1:11" ht="19.5" x14ac:dyDescent="0.25">
      <c r="A33" s="1"/>
      <c r="B33" s="192"/>
      <c r="C33" s="192"/>
      <c r="D33" s="192"/>
      <c r="E33" s="192"/>
      <c r="F33" s="97"/>
      <c r="G33" s="97"/>
      <c r="K33" s="34"/>
    </row>
    <row r="34" spans="1:11" x14ac:dyDescent="0.25">
      <c r="A34" s="1"/>
      <c r="I34" s="379"/>
      <c r="J34" s="91"/>
    </row>
    <row r="35" spans="1:11" ht="19.5" x14ac:dyDescent="0.25">
      <c r="A35" s="1"/>
      <c r="G35" s="95"/>
      <c r="H35" s="96"/>
      <c r="I35" s="96"/>
    </row>
    <row r="36" spans="1:11" ht="19.5" hidden="1" x14ac:dyDescent="0.25">
      <c r="A36" s="1"/>
      <c r="I36" s="96"/>
    </row>
    <row r="37" spans="1:11" hidden="1" x14ac:dyDescent="0.25">
      <c r="A37" s="1"/>
    </row>
    <row r="38" spans="1:11" hidden="1" x14ac:dyDescent="0.25">
      <c r="A38" s="1"/>
      <c r="J38" s="95"/>
    </row>
    <row r="39" spans="1:11" hidden="1" x14ac:dyDescent="0.25">
      <c r="A39" s="1"/>
      <c r="J39" s="99"/>
      <c r="K39" s="34"/>
    </row>
    <row r="40" spans="1:11" ht="21" hidden="1" customHeight="1" x14ac:dyDescent="0.25">
      <c r="A40" s="1"/>
      <c r="J40" s="100"/>
      <c r="K40" s="105"/>
    </row>
    <row r="41" spans="1:11" ht="21.75" hidden="1" customHeight="1" x14ac:dyDescent="0.25">
      <c r="K41" s="105"/>
    </row>
  </sheetData>
  <mergeCells count="11">
    <mergeCell ref="B32:C32"/>
    <mergeCell ref="B31:C31"/>
    <mergeCell ref="B28:C28"/>
    <mergeCell ref="B9:D9"/>
    <mergeCell ref="B14:C14"/>
    <mergeCell ref="B30:D30"/>
    <mergeCell ref="G9:I9"/>
    <mergeCell ref="B16:D16"/>
    <mergeCell ref="B21:C21"/>
    <mergeCell ref="G21:I21"/>
    <mergeCell ref="B23:D23"/>
  </mergeCells>
  <hyperlinks>
    <hyperlink ref="G19" r:id="rId1" display="Disponível em: https://www.adasa.df.gov.br/images/storage/audiencia_publica/002-2021/Nota_Tecnica_11_2021_COEE_SEF_ADASA.pdf" xr:uid="{53473FA6-8AD2-472F-9182-F2A17866B92B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F71C-B416-4DA0-B182-7DC5F8C4D8C1}">
  <sheetPr codeName="Planilha15">
    <tabColor theme="3" tint="-0.499984740745262"/>
  </sheetPr>
  <dimension ref="A1:V67"/>
  <sheetViews>
    <sheetView showGridLines="0" showRowColHeaders="0" zoomScale="90" zoomScaleNormal="90" workbookViewId="0">
      <selection activeCell="M29" sqref="M29"/>
    </sheetView>
  </sheetViews>
  <sheetFormatPr defaultColWidth="0" defaultRowHeight="15" customHeight="1" zeroHeight="1" x14ac:dyDescent="0.25"/>
  <cols>
    <col min="1" max="1" width="4.85546875" style="9" customWidth="1"/>
    <col min="2" max="5" width="16.28515625" style="9" customWidth="1"/>
    <col min="6" max="6" width="8" style="9" customWidth="1"/>
    <col min="7" max="7" width="13" customWidth="1"/>
    <col min="8" max="15" width="16.28515625" customWidth="1"/>
    <col min="16" max="16" width="3.7109375" customWidth="1"/>
    <col min="17" max="19" width="9.140625" customWidth="1"/>
    <col min="20" max="20" width="6.28515625" customWidth="1"/>
    <col min="21" max="16384" width="9.140625" hidden="1"/>
  </cols>
  <sheetData>
    <row r="1" spans="1:22" s="9" customFormat="1" ht="3" customHeight="1" x14ac:dyDescent="0.2"/>
    <row r="2" spans="1:22" s="9" customFormat="1" ht="14.25" x14ac:dyDescent="0.2"/>
    <row r="3" spans="1:22" s="9" customFormat="1" ht="18" x14ac:dyDescent="0.2">
      <c r="A3" s="299"/>
      <c r="B3" s="454"/>
      <c r="C3" s="454"/>
      <c r="D3" s="454"/>
      <c r="E3" s="454"/>
      <c r="F3" s="454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</row>
    <row r="4" spans="1:22" s="9" customFormat="1" ht="14.25" x14ac:dyDescent="0.2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</row>
    <row r="5" spans="1:22" s="9" customFormat="1" ht="20.100000000000001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</row>
    <row r="6" spans="1:22" s="9" customFormat="1" ht="14.25" x14ac:dyDescent="0.2"/>
    <row r="7" spans="1:22" s="10" customFormat="1" ht="18.75" x14ac:dyDescent="0.2">
      <c r="B7" s="289" t="s">
        <v>275</v>
      </c>
      <c r="C7" s="11"/>
      <c r="D7" s="11"/>
    </row>
    <row r="8" spans="1:22" s="11" customFormat="1" ht="15" customHeight="1" x14ac:dyDescent="0.2">
      <c r="B8" s="9"/>
      <c r="C8" s="9"/>
      <c r="D8" s="9"/>
      <c r="E8" s="9"/>
      <c r="F8" s="12"/>
      <c r="G8" s="103"/>
      <c r="H8" s="289"/>
    </row>
    <row r="9" spans="1:22" s="11" customFormat="1" ht="15" customHeight="1" x14ac:dyDescent="0.2">
      <c r="A9" s="191"/>
      <c r="B9" s="463" t="s">
        <v>276</v>
      </c>
      <c r="C9" s="464"/>
      <c r="D9" s="464"/>
      <c r="E9" s="465"/>
      <c r="F9" s="279"/>
      <c r="G9" s="103"/>
      <c r="H9" s="463" t="s">
        <v>277</v>
      </c>
      <c r="I9" s="464"/>
      <c r="J9" s="464"/>
      <c r="K9" s="465"/>
    </row>
    <row r="10" spans="1:22" s="11" customFormat="1" ht="15" customHeight="1" x14ac:dyDescent="0.2">
      <c r="A10" s="191"/>
      <c r="B10" s="462" t="s">
        <v>278</v>
      </c>
      <c r="C10" s="462"/>
      <c r="D10" s="462"/>
      <c r="E10" s="462"/>
      <c r="F10" s="280"/>
      <c r="G10" s="103"/>
      <c r="H10" s="462" t="s">
        <v>279</v>
      </c>
      <c r="I10" s="462"/>
      <c r="J10" s="462"/>
      <c r="K10" s="462"/>
    </row>
    <row r="11" spans="1:22" s="11" customFormat="1" x14ac:dyDescent="0.2">
      <c r="A11" s="191"/>
      <c r="B11" s="462"/>
      <c r="C11" s="462"/>
      <c r="D11" s="462"/>
      <c r="E11" s="462"/>
      <c r="F11" s="280"/>
      <c r="G11" s="103"/>
      <c r="H11" s="462"/>
      <c r="I11" s="462"/>
      <c r="J11" s="462"/>
      <c r="K11" s="462"/>
    </row>
    <row r="12" spans="1:22" s="11" customFormat="1" ht="39.75" customHeight="1" x14ac:dyDescent="0.2">
      <c r="A12" s="191"/>
      <c r="B12" s="310" t="s">
        <v>71</v>
      </c>
      <c r="C12" s="310" t="s">
        <v>280</v>
      </c>
      <c r="D12" s="310" t="s">
        <v>281</v>
      </c>
      <c r="E12" s="310" t="s">
        <v>282</v>
      </c>
      <c r="F12" s="280"/>
      <c r="G12" s="103"/>
      <c r="H12" s="310" t="s">
        <v>71</v>
      </c>
      <c r="I12" s="310" t="s">
        <v>280</v>
      </c>
      <c r="J12" s="310" t="s">
        <v>281</v>
      </c>
      <c r="K12" s="310" t="s">
        <v>282</v>
      </c>
    </row>
    <row r="13" spans="1:22" s="11" customFormat="1" x14ac:dyDescent="0.2">
      <c r="A13" s="191"/>
      <c r="B13" s="466" t="s">
        <v>283</v>
      </c>
      <c r="C13" s="311" t="s">
        <v>74</v>
      </c>
      <c r="D13" s="467">
        <v>8.045032568136218</v>
      </c>
      <c r="E13" s="316">
        <v>2.9766620502104004</v>
      </c>
      <c r="F13" s="280"/>
      <c r="G13" s="103"/>
      <c r="H13" s="466" t="s">
        <v>283</v>
      </c>
      <c r="I13" s="311" t="s">
        <v>74</v>
      </c>
      <c r="J13" s="467">
        <f>D13*(1+E37)</f>
        <v>8.8214058864262306</v>
      </c>
      <c r="K13" s="316">
        <f>E13*(1+$E$37)</f>
        <v>3.2639201779777047</v>
      </c>
    </row>
    <row r="14" spans="1:22" s="11" customFormat="1" ht="15" customHeight="1" x14ac:dyDescent="0.2">
      <c r="A14" s="191"/>
      <c r="B14" s="466"/>
      <c r="C14" s="311" t="s">
        <v>75</v>
      </c>
      <c r="D14" s="467"/>
      <c r="E14" s="316">
        <v>3.5699832021104467</v>
      </c>
      <c r="F14" s="192"/>
      <c r="G14" s="103"/>
      <c r="H14" s="466"/>
      <c r="I14" s="311" t="s">
        <v>75</v>
      </c>
      <c r="J14" s="467"/>
      <c r="K14" s="316">
        <f t="shared" ref="K14:K15" si="0">E14*(1+$E$37)</f>
        <v>3.9144988621016394</v>
      </c>
    </row>
    <row r="15" spans="1:22" s="11" customFormat="1" x14ac:dyDescent="0.2">
      <c r="A15" s="191"/>
      <c r="B15" s="466"/>
      <c r="C15" s="311" t="s">
        <v>76</v>
      </c>
      <c r="D15" s="467"/>
      <c r="E15" s="316">
        <v>7.0685667401786842</v>
      </c>
      <c r="F15" s="192"/>
      <c r="G15" s="103"/>
      <c r="H15" s="466"/>
      <c r="I15" s="311" t="s">
        <v>76</v>
      </c>
      <c r="J15" s="467"/>
      <c r="K15" s="316">
        <f t="shared" si="0"/>
        <v>7.750707746961246</v>
      </c>
    </row>
    <row r="16" spans="1:22" s="9" customFormat="1" ht="15" customHeight="1" x14ac:dyDescent="0.2">
      <c r="A16" s="192"/>
      <c r="B16" s="466"/>
      <c r="C16" s="311" t="s">
        <v>77</v>
      </c>
      <c r="D16" s="467"/>
      <c r="E16" s="316">
        <v>10.249421773259092</v>
      </c>
      <c r="F16" s="192"/>
      <c r="G16" s="103"/>
      <c r="H16" s="466"/>
      <c r="I16" s="311" t="s">
        <v>77</v>
      </c>
      <c r="J16" s="467"/>
      <c r="K16" s="316">
        <f t="shared" ref="K16:K24" si="1">E16*(1+$E$37)</f>
        <v>11.238526233093806</v>
      </c>
    </row>
    <row r="17" spans="1:12" s="12" customFormat="1" ht="15" customHeight="1" x14ac:dyDescent="0.2">
      <c r="A17" s="282"/>
      <c r="B17" s="466"/>
      <c r="C17" s="311" t="s">
        <v>78</v>
      </c>
      <c r="D17" s="467"/>
      <c r="E17" s="316">
        <v>15.374132659888637</v>
      </c>
      <c r="F17" s="283"/>
      <c r="G17" s="103"/>
      <c r="H17" s="466"/>
      <c r="I17" s="311" t="s">
        <v>78</v>
      </c>
      <c r="J17" s="467"/>
      <c r="K17" s="316">
        <f t="shared" si="1"/>
        <v>16.857789349640708</v>
      </c>
      <c r="L17" s="317"/>
    </row>
    <row r="18" spans="1:12" s="12" customFormat="1" ht="15" customHeight="1" x14ac:dyDescent="0.2">
      <c r="A18" s="282"/>
      <c r="B18" s="466"/>
      <c r="C18" s="311" t="s">
        <v>284</v>
      </c>
      <c r="D18" s="467"/>
      <c r="E18" s="316">
        <v>19.986372457855232</v>
      </c>
      <c r="F18" s="283"/>
      <c r="G18" s="103"/>
      <c r="H18" s="466"/>
      <c r="I18" s="311" t="s">
        <v>284</v>
      </c>
      <c r="J18" s="467"/>
      <c r="K18" s="316">
        <f t="shared" si="1"/>
        <v>21.915126154532924</v>
      </c>
    </row>
    <row r="19" spans="1:12" s="9" customFormat="1" ht="15" customHeight="1" x14ac:dyDescent="0.2">
      <c r="A19" s="192"/>
      <c r="B19" s="466" t="s">
        <v>81</v>
      </c>
      <c r="C19" s="311" t="s">
        <v>74</v>
      </c>
      <c r="D19" s="461">
        <v>4.022516284068109</v>
      </c>
      <c r="E19" s="316">
        <v>1.4883310251052002</v>
      </c>
      <c r="F19" s="284"/>
      <c r="G19" s="103"/>
      <c r="H19" s="466" t="s">
        <v>81</v>
      </c>
      <c r="I19" s="311" t="s">
        <v>74</v>
      </c>
      <c r="J19" s="461">
        <f>D19*(1+E37)</f>
        <v>4.4107029432131153</v>
      </c>
      <c r="K19" s="316">
        <f t="shared" si="1"/>
        <v>1.6319600889888524</v>
      </c>
    </row>
    <row r="20" spans="1:12" s="9" customFormat="1" ht="15" customHeight="1" x14ac:dyDescent="0.2">
      <c r="A20" s="192"/>
      <c r="B20" s="466"/>
      <c r="C20" s="311" t="s">
        <v>75</v>
      </c>
      <c r="D20" s="461"/>
      <c r="E20" s="316">
        <v>1.7849916010552234</v>
      </c>
      <c r="F20" s="285"/>
      <c r="G20" s="103"/>
      <c r="H20" s="466"/>
      <c r="I20" s="311" t="s">
        <v>75</v>
      </c>
      <c r="J20" s="461"/>
      <c r="K20" s="316">
        <f t="shared" si="1"/>
        <v>1.9572494310508197</v>
      </c>
    </row>
    <row r="21" spans="1:12" s="9" customFormat="1" ht="15" customHeight="1" x14ac:dyDescent="0.2">
      <c r="A21" s="192"/>
      <c r="B21" s="466"/>
      <c r="C21" s="311" t="s">
        <v>76</v>
      </c>
      <c r="D21" s="461"/>
      <c r="E21" s="316">
        <v>3.5342833700893421</v>
      </c>
      <c r="F21" s="285"/>
      <c r="G21" s="103"/>
      <c r="H21" s="466"/>
      <c r="I21" s="311" t="s">
        <v>76</v>
      </c>
      <c r="J21" s="461"/>
      <c r="K21" s="316">
        <f t="shared" si="1"/>
        <v>3.875353873480623</v>
      </c>
    </row>
    <row r="22" spans="1:12" s="9" customFormat="1" ht="15" customHeight="1" x14ac:dyDescent="0.2">
      <c r="A22" s="192"/>
      <c r="B22" s="466"/>
      <c r="C22" s="311" t="s">
        <v>77</v>
      </c>
      <c r="D22" s="461"/>
      <c r="E22" s="316">
        <v>5.1247108866295461</v>
      </c>
      <c r="F22" s="286"/>
      <c r="G22" s="103"/>
      <c r="H22" s="466"/>
      <c r="I22" s="311" t="s">
        <v>77</v>
      </c>
      <c r="J22" s="461"/>
      <c r="K22" s="316">
        <f t="shared" si="1"/>
        <v>5.6192631165469029</v>
      </c>
    </row>
    <row r="23" spans="1:12" s="9" customFormat="1" ht="15" customHeight="1" x14ac:dyDescent="0.2">
      <c r="A23" s="192"/>
      <c r="B23" s="466"/>
      <c r="C23" s="311" t="s">
        <v>78</v>
      </c>
      <c r="D23" s="461"/>
      <c r="E23" s="316">
        <v>15.374132659888637</v>
      </c>
      <c r="F23" s="191"/>
      <c r="G23" s="103"/>
      <c r="H23" s="466"/>
      <c r="I23" s="311" t="s">
        <v>78</v>
      </c>
      <c r="J23" s="461"/>
      <c r="K23" s="316">
        <f t="shared" si="1"/>
        <v>16.857789349640708</v>
      </c>
    </row>
    <row r="24" spans="1:12" s="9" customFormat="1" ht="15" customHeight="1" x14ac:dyDescent="0.2">
      <c r="A24" s="192"/>
      <c r="B24" s="466"/>
      <c r="C24" s="311" t="s">
        <v>284</v>
      </c>
      <c r="D24" s="461"/>
      <c r="E24" s="316">
        <v>19.986372457855232</v>
      </c>
      <c r="F24" s="191"/>
      <c r="G24" s="103"/>
      <c r="H24" s="466"/>
      <c r="I24" s="311" t="s">
        <v>284</v>
      </c>
      <c r="J24" s="461"/>
      <c r="K24" s="316">
        <f t="shared" si="1"/>
        <v>21.915126154532924</v>
      </c>
    </row>
    <row r="25" spans="1:12" s="9" customFormat="1" ht="15" customHeight="1" x14ac:dyDescent="0.2">
      <c r="A25" s="192"/>
      <c r="B25" s="466" t="s">
        <v>285</v>
      </c>
      <c r="C25" s="311" t="s">
        <v>82</v>
      </c>
      <c r="D25" s="461">
        <v>21.547497005996032</v>
      </c>
      <c r="E25" s="316">
        <v>6.2590348445988475</v>
      </c>
      <c r="F25" s="191"/>
      <c r="G25" s="103"/>
      <c r="H25" s="466" t="s">
        <v>285</v>
      </c>
      <c r="I25" s="311" t="s">
        <v>82</v>
      </c>
      <c r="J25" s="461">
        <f>D25*(1+E39)</f>
        <v>23.156190451868852</v>
      </c>
      <c r="K25" s="316">
        <f t="shared" ref="K25:K34" si="2">E25*(1+$E$39)</f>
        <v>6.7263219883999996</v>
      </c>
    </row>
    <row r="26" spans="1:12" s="9" customFormat="1" ht="15" customHeight="1" x14ac:dyDescent="0.2">
      <c r="A26" s="192"/>
      <c r="B26" s="466"/>
      <c r="C26" s="311" t="s">
        <v>83</v>
      </c>
      <c r="D26" s="461"/>
      <c r="E26" s="316">
        <v>7.8237935557485594</v>
      </c>
      <c r="F26" s="191"/>
      <c r="G26" s="103"/>
      <c r="H26" s="466"/>
      <c r="I26" s="311" t="s">
        <v>83</v>
      </c>
      <c r="J26" s="461"/>
      <c r="K26" s="316">
        <f t="shared" si="2"/>
        <v>8.4079024854999993</v>
      </c>
    </row>
    <row r="27" spans="1:12" s="9" customFormat="1" ht="15" customHeight="1" x14ac:dyDescent="0.2">
      <c r="A27" s="192"/>
      <c r="B27" s="466"/>
      <c r="C27" s="311" t="s">
        <v>286</v>
      </c>
      <c r="D27" s="461"/>
      <c r="E27" s="316">
        <v>10.092693686915641</v>
      </c>
      <c r="F27" s="191"/>
      <c r="G27" s="103"/>
      <c r="H27" s="466"/>
      <c r="I27" s="311" t="s">
        <v>286</v>
      </c>
      <c r="J27" s="461"/>
      <c r="K27" s="316">
        <f t="shared" si="2"/>
        <v>10.846194206294999</v>
      </c>
    </row>
    <row r="28" spans="1:12" s="9" customFormat="1" ht="15" customHeight="1" x14ac:dyDescent="0.2">
      <c r="A28" s="192"/>
      <c r="B28" s="466"/>
      <c r="C28" s="311" t="s">
        <v>287</v>
      </c>
      <c r="D28" s="461"/>
      <c r="E28" s="316">
        <v>12.514940171775395</v>
      </c>
      <c r="F28" s="191"/>
      <c r="G28" s="103"/>
      <c r="H28" s="466"/>
      <c r="I28" s="311" t="s">
        <v>287</v>
      </c>
      <c r="J28" s="461"/>
      <c r="K28" s="316">
        <f t="shared" si="2"/>
        <v>13.4492808158058</v>
      </c>
    </row>
    <row r="29" spans="1:12" s="9" customFormat="1" ht="15" customHeight="1" x14ac:dyDescent="0.2">
      <c r="A29" s="192"/>
      <c r="B29" s="466"/>
      <c r="C29" s="311" t="s">
        <v>288</v>
      </c>
      <c r="D29" s="461"/>
      <c r="E29" s="316">
        <v>14.767629402694965</v>
      </c>
      <c r="F29" s="191"/>
      <c r="G29" s="103"/>
      <c r="H29" s="466"/>
      <c r="I29" s="311" t="s">
        <v>288</v>
      </c>
      <c r="J29" s="461"/>
      <c r="K29" s="316">
        <f t="shared" si="2"/>
        <v>15.870151362650843</v>
      </c>
      <c r="L29" s="24"/>
    </row>
    <row r="30" spans="1:12" s="9" customFormat="1" ht="15" customHeight="1" x14ac:dyDescent="0.25">
      <c r="A30" s="192"/>
      <c r="B30" s="466" t="s">
        <v>289</v>
      </c>
      <c r="C30" s="311" t="s">
        <v>82</v>
      </c>
      <c r="D30" s="461">
        <v>32.321245508994053</v>
      </c>
      <c r="E30" s="316">
        <v>9.3885522668982695</v>
      </c>
      <c r="F30" s="26"/>
      <c r="G30" s="103"/>
      <c r="H30" s="466" t="s">
        <v>289</v>
      </c>
      <c r="I30" s="311" t="s">
        <v>82</v>
      </c>
      <c r="J30" s="461">
        <f>D30*(1+E39)</f>
        <v>34.734285677803285</v>
      </c>
      <c r="K30" s="316">
        <f t="shared" si="2"/>
        <v>10.089482982599998</v>
      </c>
    </row>
    <row r="31" spans="1:12" s="12" customFormat="1" ht="15" customHeight="1" x14ac:dyDescent="0.25">
      <c r="A31" s="282"/>
      <c r="B31" s="466"/>
      <c r="C31" s="311" t="s">
        <v>83</v>
      </c>
      <c r="D31" s="461"/>
      <c r="E31" s="316">
        <v>11.73569033362284</v>
      </c>
      <c r="F31" s="100"/>
      <c r="G31" s="103"/>
      <c r="H31" s="466"/>
      <c r="I31" s="311" t="s">
        <v>83</v>
      </c>
      <c r="J31" s="461"/>
      <c r="K31" s="316">
        <f t="shared" si="2"/>
        <v>12.611853728250001</v>
      </c>
    </row>
    <row r="32" spans="1:12" ht="15" customHeight="1" x14ac:dyDescent="0.25">
      <c r="A32" s="191"/>
      <c r="B32" s="466"/>
      <c r="C32" s="311" t="s">
        <v>286</v>
      </c>
      <c r="D32" s="461"/>
      <c r="E32" s="316">
        <v>15.139040530373462</v>
      </c>
      <c r="F32" s="95"/>
      <c r="G32" s="103"/>
      <c r="H32" s="466"/>
      <c r="I32" s="311" t="s">
        <v>286</v>
      </c>
      <c r="J32" s="461"/>
      <c r="K32" s="316">
        <f t="shared" si="2"/>
        <v>16.269291309442501</v>
      </c>
    </row>
    <row r="33" spans="1:11" ht="15" customHeight="1" x14ac:dyDescent="0.25">
      <c r="A33" s="191"/>
      <c r="B33" s="466"/>
      <c r="C33" s="311" t="s">
        <v>287</v>
      </c>
      <c r="D33" s="461"/>
      <c r="E33" s="316">
        <v>18.772410257663093</v>
      </c>
      <c r="F33" s="97"/>
      <c r="G33" s="103"/>
      <c r="H33" s="466"/>
      <c r="I33" s="311" t="s">
        <v>287</v>
      </c>
      <c r="J33" s="461"/>
      <c r="K33" s="316">
        <f t="shared" si="2"/>
        <v>20.1739212237087</v>
      </c>
    </row>
    <row r="34" spans="1:11" ht="15" customHeight="1" x14ac:dyDescent="0.25">
      <c r="A34" s="1"/>
      <c r="B34" s="466"/>
      <c r="C34" s="311" t="s">
        <v>288</v>
      </c>
      <c r="D34" s="461"/>
      <c r="E34" s="316">
        <v>22.151444104042447</v>
      </c>
      <c r="G34" s="103"/>
      <c r="H34" s="466"/>
      <c r="I34" s="311" t="s">
        <v>288</v>
      </c>
      <c r="J34" s="461"/>
      <c r="K34" s="316">
        <f t="shared" si="2"/>
        <v>23.805227043976263</v>
      </c>
    </row>
    <row r="35" spans="1:11" ht="15" customHeight="1" x14ac:dyDescent="0.25">
      <c r="A35" s="1"/>
      <c r="B35" s="315" t="s">
        <v>290</v>
      </c>
      <c r="C35" s="312"/>
      <c r="D35" s="313"/>
      <c r="E35" s="314"/>
      <c r="G35" s="103"/>
      <c r="H35" s="289"/>
      <c r="I35" s="11"/>
    </row>
    <row r="36" spans="1:11" ht="18.75" x14ac:dyDescent="0.25">
      <c r="A36" s="1"/>
      <c r="B36" s="307"/>
      <c r="C36" s="307"/>
      <c r="D36" s="308"/>
      <c r="E36" s="309"/>
      <c r="G36" s="103"/>
      <c r="H36" s="289"/>
      <c r="I36" s="11"/>
    </row>
    <row r="37" spans="1:11" ht="15.75" x14ac:dyDescent="0.25">
      <c r="A37" s="1"/>
      <c r="B37" s="387" t="s">
        <v>273</v>
      </c>
      <c r="C37" s="388"/>
      <c r="D37" s="388"/>
      <c r="E37" s="319">
        <f>'RTA 2022'!D31</f>
        <v>9.650344006871725E-2</v>
      </c>
      <c r="F37" s="99"/>
    </row>
    <row r="38" spans="1:11" ht="3.75" customHeight="1" x14ac:dyDescent="0.25">
      <c r="A38" s="1"/>
      <c r="B38" s="158"/>
      <c r="C38" s="158"/>
      <c r="D38" s="158"/>
      <c r="E38" s="160"/>
      <c r="F38" s="100"/>
    </row>
    <row r="39" spans="1:11" ht="15.75" x14ac:dyDescent="0.25">
      <c r="A39" s="1"/>
      <c r="B39" s="387" t="s">
        <v>274</v>
      </c>
      <c r="C39" s="388"/>
      <c r="D39" s="388"/>
      <c r="E39" s="319">
        <f>'RTA 2022'!D32</f>
        <v>7.4658019231893524E-2</v>
      </c>
      <c r="F39"/>
    </row>
    <row r="40" spans="1:11" ht="7.5" customHeight="1" x14ac:dyDescent="0.25">
      <c r="A40" s="1"/>
      <c r="B40" s="103"/>
      <c r="C40" s="104"/>
      <c r="D40" s="104"/>
      <c r="E40" s="11"/>
      <c r="F40"/>
      <c r="G40" s="34"/>
    </row>
    <row r="41" spans="1:11" ht="21.75" customHeight="1" x14ac:dyDescent="0.25">
      <c r="G41" s="103"/>
      <c r="H41" s="104"/>
      <c r="I41" s="12"/>
      <c r="K41" s="105"/>
    </row>
    <row r="42" spans="1:11" ht="15" hidden="1" customHeight="1" x14ac:dyDescent="0.25">
      <c r="G42" s="103"/>
      <c r="H42" s="104"/>
      <c r="I42" s="12"/>
    </row>
    <row r="43" spans="1:11" ht="15" hidden="1" customHeight="1" x14ac:dyDescent="0.25">
      <c r="G43" s="103"/>
      <c r="H43" s="104"/>
      <c r="I43" s="9"/>
    </row>
    <row r="44" spans="1:11" ht="15" hidden="1" customHeight="1" x14ac:dyDescent="0.25">
      <c r="G44" s="192"/>
      <c r="H44" s="192"/>
      <c r="I44" s="9"/>
    </row>
    <row r="45" spans="1:11" ht="15" hidden="1" customHeight="1" x14ac:dyDescent="0.25">
      <c r="G45" s="149"/>
      <c r="H45" s="149"/>
      <c r="I45" s="9"/>
    </row>
    <row r="46" spans="1:11" ht="15" hidden="1" customHeight="1" x14ac:dyDescent="0.25">
      <c r="G46" s="103"/>
      <c r="H46" s="281"/>
      <c r="I46" s="9"/>
    </row>
    <row r="47" spans="1:11" ht="15" hidden="1" customHeight="1" x14ac:dyDescent="0.25">
      <c r="G47" s="103"/>
      <c r="H47" s="281"/>
      <c r="I47" s="9"/>
    </row>
    <row r="48" spans="1:11" ht="15" hidden="1" customHeight="1" x14ac:dyDescent="0.25">
      <c r="G48" s="103"/>
      <c r="H48" s="281"/>
      <c r="I48" s="9"/>
    </row>
    <row r="49" spans="7:9" ht="15" hidden="1" customHeight="1" x14ac:dyDescent="0.25">
      <c r="G49" s="103"/>
      <c r="H49" s="281"/>
      <c r="I49" s="9"/>
    </row>
    <row r="50" spans="7:9" ht="15" hidden="1" customHeight="1" x14ac:dyDescent="0.25">
      <c r="G50" s="103"/>
      <c r="H50" s="281"/>
      <c r="I50" s="9"/>
    </row>
    <row r="51" spans="7:9" ht="15" hidden="1" customHeight="1" x14ac:dyDescent="0.25">
      <c r="G51" s="103"/>
      <c r="H51" s="104"/>
      <c r="I51" s="9"/>
    </row>
    <row r="52" spans="7:9" ht="15" hidden="1" customHeight="1" x14ac:dyDescent="0.25">
      <c r="G52" s="103"/>
      <c r="H52" s="104"/>
      <c r="I52" s="9"/>
    </row>
    <row r="53" spans="7:9" ht="15" hidden="1" customHeight="1" x14ac:dyDescent="0.25">
      <c r="G53" s="103"/>
      <c r="H53" s="104"/>
      <c r="I53" s="89"/>
    </row>
    <row r="54" spans="7:9" ht="15" hidden="1" customHeight="1" x14ac:dyDescent="0.25">
      <c r="G54" s="187"/>
      <c r="H54" s="287"/>
      <c r="I54" s="9"/>
    </row>
    <row r="55" spans="7:9" ht="15" hidden="1" customHeight="1" x14ac:dyDescent="0.25">
      <c r="G55" s="26"/>
      <c r="H55" s="288"/>
      <c r="I55" s="90"/>
    </row>
    <row r="56" spans="7:9" ht="15" hidden="1" customHeight="1" x14ac:dyDescent="0.25">
      <c r="G56" s="26"/>
      <c r="H56" s="190"/>
    </row>
    <row r="57" spans="7:9" ht="15" hidden="1" customHeight="1" x14ac:dyDescent="0.25">
      <c r="G57" s="26"/>
      <c r="H57" s="26"/>
    </row>
    <row r="58" spans="7:9" ht="15" hidden="1" customHeight="1" x14ac:dyDescent="0.25">
      <c r="I58" s="91"/>
    </row>
    <row r="59" spans="7:9" ht="15" hidden="1" customHeight="1" x14ac:dyDescent="0.25">
      <c r="I59" s="91"/>
    </row>
    <row r="60" spans="7:9" ht="15" hidden="1" customHeight="1" x14ac:dyDescent="0.25">
      <c r="I60" s="91"/>
    </row>
    <row r="62" spans="7:9" ht="15" hidden="1" customHeight="1" x14ac:dyDescent="0.25">
      <c r="G62" s="96"/>
      <c r="H62" s="96"/>
    </row>
    <row r="63" spans="7:9" ht="15" hidden="1" customHeight="1" x14ac:dyDescent="0.25">
      <c r="H63" s="96"/>
    </row>
    <row r="64" spans="7:9" ht="15" hidden="1" customHeight="1" x14ac:dyDescent="0.25">
      <c r="I64" s="95"/>
    </row>
    <row r="65" spans="9:9" ht="15" hidden="1" customHeight="1" x14ac:dyDescent="0.25">
      <c r="I65" s="99"/>
    </row>
    <row r="66" spans="9:9" ht="15" hidden="1" customHeight="1" x14ac:dyDescent="0.25">
      <c r="I66" s="100"/>
    </row>
    <row r="67" spans="9:9" ht="15" customHeight="1" x14ac:dyDescent="0.25"/>
  </sheetData>
  <mergeCells count="23">
    <mergeCell ref="H25:H29"/>
    <mergeCell ref="J25:J29"/>
    <mergeCell ref="H30:H34"/>
    <mergeCell ref="J30:J34"/>
    <mergeCell ref="B39:D39"/>
    <mergeCell ref="B37:D37"/>
    <mergeCell ref="B25:B29"/>
    <mergeCell ref="D25:D29"/>
    <mergeCell ref="B30:B34"/>
    <mergeCell ref="D30:D34"/>
    <mergeCell ref="H9:K9"/>
    <mergeCell ref="H10:K11"/>
    <mergeCell ref="H13:H18"/>
    <mergeCell ref="J13:J18"/>
    <mergeCell ref="H19:H24"/>
    <mergeCell ref="J19:J24"/>
    <mergeCell ref="B3:F3"/>
    <mergeCell ref="D19:D24"/>
    <mergeCell ref="B10:E11"/>
    <mergeCell ref="B9:E9"/>
    <mergeCell ref="B13:B18"/>
    <mergeCell ref="D13:D18"/>
    <mergeCell ref="B19:B24"/>
  </mergeCells>
  <hyperlinks>
    <hyperlink ref="B35" r:id="rId1" xr:uid="{E685C532-FE9A-4E34-99E1-232EBBC1BA48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F8AA0-887A-4678-8F17-FB758A0554A6}">
  <sheetPr codeName="Planilha16">
    <tabColor theme="6" tint="0.59999389629810485"/>
  </sheetPr>
  <dimension ref="A1:J96"/>
  <sheetViews>
    <sheetView zoomScale="90" zoomScaleNormal="90" workbookViewId="0">
      <selection activeCell="E57" sqref="E57"/>
    </sheetView>
  </sheetViews>
  <sheetFormatPr defaultColWidth="0" defaultRowHeight="0" customHeight="1" zeroHeight="1" outlineLevelRow="1" x14ac:dyDescent="0.25"/>
  <cols>
    <col min="1" max="1" width="2.28515625" style="26" customWidth="1"/>
    <col min="2" max="2" width="1.42578125" style="26" customWidth="1"/>
    <col min="3" max="3" width="2.140625" style="26" customWidth="1"/>
    <col min="4" max="4" width="65.85546875" style="26" bestFit="1" customWidth="1"/>
    <col min="5" max="5" width="17" style="26" customWidth="1"/>
    <col min="6" max="6" width="2.140625" style="26" customWidth="1"/>
    <col min="7" max="7" width="1.42578125" style="26" customWidth="1"/>
    <col min="8" max="8" width="7.42578125" style="26" customWidth="1"/>
    <col min="9" max="10" width="0" style="26" hidden="1" customWidth="1"/>
    <col min="11" max="16384" width="9.140625" style="26" hidden="1"/>
  </cols>
  <sheetData>
    <row r="1" spans="2:9" ht="9" customHeight="1" x14ac:dyDescent="0.25"/>
    <row r="2" spans="2:9" ht="20.25" x14ac:dyDescent="0.3">
      <c r="C2" s="42"/>
      <c r="D2" s="43" t="s">
        <v>291</v>
      </c>
      <c r="E2" s="42"/>
      <c r="F2" s="42"/>
      <c r="G2" s="42"/>
      <c r="H2" s="44"/>
      <c r="I2" s="44"/>
    </row>
    <row r="3" spans="2:9" ht="20.25" x14ac:dyDescent="0.3">
      <c r="C3" s="42"/>
      <c r="D3" s="43" t="s">
        <v>292</v>
      </c>
      <c r="E3" s="42"/>
      <c r="F3" s="42"/>
      <c r="G3" s="42"/>
      <c r="H3" s="44"/>
      <c r="I3" s="44"/>
    </row>
    <row r="4" spans="2:9" ht="20.25" x14ac:dyDescent="0.3">
      <c r="C4" s="42"/>
      <c r="D4" s="45" t="s">
        <v>293</v>
      </c>
      <c r="E4" s="42"/>
      <c r="F4" s="42"/>
      <c r="G4" s="42"/>
      <c r="H4" s="44"/>
      <c r="I4" s="44"/>
    </row>
    <row r="5" spans="2:9" ht="8.4499999999999993" customHeight="1" x14ac:dyDescent="0.3">
      <c r="C5" s="42"/>
      <c r="D5" s="46"/>
      <c r="E5" s="47"/>
      <c r="F5" s="42"/>
      <c r="G5" s="42"/>
      <c r="H5" s="48"/>
      <c r="I5" s="48"/>
    </row>
    <row r="6" spans="2:9" ht="15" customHeight="1" x14ac:dyDescent="0.3">
      <c r="C6" s="44"/>
      <c r="D6" s="49"/>
      <c r="E6" s="50"/>
      <c r="F6" s="44"/>
      <c r="H6" s="48"/>
      <c r="I6" s="48"/>
    </row>
    <row r="7" spans="2:9" ht="4.9000000000000004" customHeight="1" x14ac:dyDescent="0.25">
      <c r="B7" s="51"/>
      <c r="C7" s="52"/>
      <c r="D7" s="53"/>
      <c r="E7" s="53"/>
      <c r="F7" s="52"/>
      <c r="G7" s="54"/>
      <c r="H7" s="48"/>
      <c r="I7" s="48"/>
    </row>
    <row r="8" spans="2:9" ht="15" x14ac:dyDescent="0.25">
      <c r="B8" s="55"/>
      <c r="C8" s="468" t="s">
        <v>293</v>
      </c>
      <c r="D8" s="468"/>
      <c r="E8" s="468"/>
      <c r="F8" s="468"/>
      <c r="G8" s="56"/>
      <c r="H8" s="48"/>
      <c r="I8" s="48"/>
    </row>
    <row r="9" spans="2:9" ht="7.9" customHeight="1" thickBot="1" x14ac:dyDescent="0.3">
      <c r="B9" s="55"/>
      <c r="D9" s="57"/>
      <c r="E9" s="58"/>
      <c r="G9" s="56"/>
      <c r="H9" s="57"/>
      <c r="I9" s="57"/>
    </row>
    <row r="10" spans="2:9" ht="9" customHeight="1" x14ac:dyDescent="0.25">
      <c r="B10" s="55"/>
      <c r="C10" s="59"/>
      <c r="D10" s="60"/>
      <c r="E10" s="60"/>
      <c r="F10" s="61"/>
      <c r="G10" s="56"/>
      <c r="H10" s="48"/>
      <c r="I10" s="48"/>
    </row>
    <row r="11" spans="2:9" ht="15" outlineLevel="1" x14ac:dyDescent="0.25">
      <c r="B11" s="55"/>
      <c r="C11" s="62"/>
      <c r="D11" s="63" t="s">
        <v>294</v>
      </c>
      <c r="E11" s="64" t="s">
        <v>295</v>
      </c>
      <c r="F11" s="65"/>
      <c r="G11" s="56"/>
      <c r="H11" s="57"/>
      <c r="I11" s="57"/>
    </row>
    <row r="12" spans="2:9" ht="6" customHeight="1" outlineLevel="1" x14ac:dyDescent="0.25">
      <c r="B12" s="55"/>
      <c r="C12" s="62"/>
      <c r="D12" s="57"/>
      <c r="E12" s="57"/>
      <c r="F12" s="65"/>
      <c r="G12" s="56"/>
      <c r="H12" s="57"/>
      <c r="I12" s="57"/>
    </row>
    <row r="13" spans="2:9" ht="15" outlineLevel="1" x14ac:dyDescent="0.25">
      <c r="B13" s="55"/>
      <c r="C13" s="62"/>
      <c r="D13" s="66" t="s">
        <v>296</v>
      </c>
      <c r="E13" s="67">
        <v>8745137.3760000002</v>
      </c>
      <c r="F13" s="65"/>
      <c r="G13" s="56"/>
      <c r="H13" s="57"/>
      <c r="I13" s="57"/>
    </row>
    <row r="14" spans="2:9" ht="15" outlineLevel="1" x14ac:dyDescent="0.25">
      <c r="B14" s="55"/>
      <c r="C14" s="62"/>
      <c r="D14" s="68" t="s">
        <v>297</v>
      </c>
      <c r="E14" s="67">
        <v>17715101.848200001</v>
      </c>
      <c r="F14" s="65"/>
      <c r="G14" s="56"/>
      <c r="H14" s="57"/>
      <c r="I14" s="57"/>
    </row>
    <row r="15" spans="2:9" ht="15" outlineLevel="1" x14ac:dyDescent="0.25">
      <c r="B15" s="55"/>
      <c r="C15" s="62"/>
      <c r="D15" s="68" t="s">
        <v>298</v>
      </c>
      <c r="E15" s="67">
        <v>56285625.59549053</v>
      </c>
      <c r="F15" s="65"/>
      <c r="G15" s="56"/>
      <c r="H15" s="57"/>
      <c r="I15" s="57"/>
    </row>
    <row r="16" spans="2:9" ht="15" outlineLevel="1" x14ac:dyDescent="0.25">
      <c r="B16" s="55"/>
      <c r="C16" s="62"/>
      <c r="D16" s="68" t="s">
        <v>299</v>
      </c>
      <c r="E16" s="67">
        <v>60000</v>
      </c>
      <c r="F16" s="65"/>
      <c r="G16" s="56"/>
      <c r="H16" s="57"/>
      <c r="I16" s="57"/>
    </row>
    <row r="17" spans="2:9" ht="15" outlineLevel="1" x14ac:dyDescent="0.25">
      <c r="B17" s="55"/>
      <c r="C17" s="62"/>
      <c r="D17" s="68" t="s">
        <v>300</v>
      </c>
      <c r="E17" s="67">
        <v>7210047.9100000001</v>
      </c>
      <c r="F17" s="65"/>
      <c r="G17" s="56"/>
      <c r="H17" s="57"/>
      <c r="I17" s="57"/>
    </row>
    <row r="18" spans="2:9" ht="15" outlineLevel="1" x14ac:dyDescent="0.25">
      <c r="B18" s="55"/>
      <c r="C18" s="62"/>
      <c r="D18" s="68" t="s">
        <v>301</v>
      </c>
      <c r="E18" s="69">
        <v>-5.6000000000000001E-2</v>
      </c>
      <c r="F18" s="65"/>
      <c r="G18" s="56"/>
      <c r="H18" s="57"/>
      <c r="I18" s="57"/>
    </row>
    <row r="19" spans="2:9" ht="6" customHeight="1" outlineLevel="1" thickBot="1" x14ac:dyDescent="0.3">
      <c r="B19" s="55"/>
      <c r="C19" s="62"/>
      <c r="D19" s="57"/>
      <c r="E19" s="57"/>
      <c r="F19" s="65"/>
      <c r="G19" s="56"/>
      <c r="H19" s="57"/>
      <c r="I19" s="57"/>
    </row>
    <row r="20" spans="2:9" ht="15" x14ac:dyDescent="0.25">
      <c r="B20" s="55"/>
      <c r="C20" s="62"/>
      <c r="D20" s="70" t="s">
        <v>302</v>
      </c>
      <c r="E20" s="71">
        <f>SUM(E13:E17)*(1+E18)</f>
        <v>84975021.616827846</v>
      </c>
      <c r="F20" s="65"/>
      <c r="G20" s="56"/>
      <c r="H20" s="57"/>
      <c r="I20" s="57"/>
    </row>
    <row r="21" spans="2:9" ht="7.5" customHeight="1" x14ac:dyDescent="0.25">
      <c r="B21" s="55"/>
      <c r="C21" s="62"/>
      <c r="D21" s="57"/>
      <c r="E21" s="58"/>
      <c r="F21" s="65"/>
      <c r="G21" s="56"/>
      <c r="H21" s="57"/>
      <c r="I21" s="57"/>
    </row>
    <row r="22" spans="2:9" ht="15" outlineLevel="1" x14ac:dyDescent="0.25">
      <c r="B22" s="55"/>
      <c r="C22" s="62"/>
      <c r="D22" s="63" t="s">
        <v>303</v>
      </c>
      <c r="E22" s="64" t="s">
        <v>295</v>
      </c>
      <c r="F22" s="65"/>
      <c r="G22" s="56"/>
      <c r="H22" s="57"/>
      <c r="I22" s="57"/>
    </row>
    <row r="23" spans="2:9" ht="6" customHeight="1" outlineLevel="1" x14ac:dyDescent="0.25">
      <c r="B23" s="55"/>
      <c r="C23" s="62"/>
      <c r="D23" s="57"/>
      <c r="E23" s="57"/>
      <c r="F23" s="65"/>
      <c r="G23" s="56"/>
      <c r="H23" s="57"/>
      <c r="I23" s="57"/>
    </row>
    <row r="24" spans="2:9" ht="15" outlineLevel="1" x14ac:dyDescent="0.25">
      <c r="B24" s="55"/>
      <c r="C24" s="62"/>
      <c r="D24" s="72" t="s">
        <v>304</v>
      </c>
      <c r="E24" s="73">
        <f>SUM(E25:E31)</f>
        <v>1052594893.9816717</v>
      </c>
      <c r="F24" s="65"/>
      <c r="G24" s="56"/>
      <c r="H24" s="57"/>
      <c r="I24" s="57"/>
    </row>
    <row r="25" spans="2:9" ht="15" outlineLevel="1" x14ac:dyDescent="0.25">
      <c r="B25" s="55"/>
      <c r="C25" s="62"/>
      <c r="D25" s="74" t="s">
        <v>305</v>
      </c>
      <c r="E25" s="67">
        <v>545977869.68037164</v>
      </c>
      <c r="F25" s="65"/>
      <c r="G25" s="56"/>
      <c r="H25" s="57"/>
      <c r="I25" s="57"/>
    </row>
    <row r="26" spans="2:9" ht="15" outlineLevel="1" x14ac:dyDescent="0.25">
      <c r="B26" s="55"/>
      <c r="C26" s="62"/>
      <c r="D26" s="74" t="s">
        <v>306</v>
      </c>
      <c r="E26" s="67">
        <v>269525064.10340005</v>
      </c>
      <c r="F26" s="65"/>
      <c r="G26" s="56"/>
      <c r="H26" s="57"/>
      <c r="I26" s="57"/>
    </row>
    <row r="27" spans="2:9" ht="15" outlineLevel="1" x14ac:dyDescent="0.25">
      <c r="B27" s="55"/>
      <c r="C27" s="62"/>
      <c r="D27" s="74" t="s">
        <v>307</v>
      </c>
      <c r="E27" s="67">
        <v>77387004.115399957</v>
      </c>
      <c r="F27" s="65"/>
      <c r="G27" s="56"/>
      <c r="H27" s="57"/>
      <c r="I27" s="57"/>
    </row>
    <row r="28" spans="2:9" ht="15" outlineLevel="1" x14ac:dyDescent="0.25">
      <c r="B28" s="55"/>
      <c r="C28" s="62"/>
      <c r="D28" s="74" t="s">
        <v>308</v>
      </c>
      <c r="E28" s="67">
        <v>3148267.4724999992</v>
      </c>
      <c r="F28" s="65"/>
      <c r="G28" s="56"/>
      <c r="H28" s="57"/>
      <c r="I28" s="57"/>
    </row>
    <row r="29" spans="2:9" ht="15" outlineLevel="1" x14ac:dyDescent="0.25">
      <c r="B29" s="55"/>
      <c r="C29" s="62"/>
      <c r="D29" s="74" t="s">
        <v>309</v>
      </c>
      <c r="E29" s="67">
        <v>5033751.62</v>
      </c>
      <c r="F29" s="65"/>
      <c r="G29" s="56"/>
      <c r="H29" s="57"/>
      <c r="I29" s="57"/>
    </row>
    <row r="30" spans="2:9" ht="15" outlineLevel="1" x14ac:dyDescent="0.25">
      <c r="B30" s="55"/>
      <c r="C30" s="62"/>
      <c r="D30" s="74" t="s">
        <v>310</v>
      </c>
      <c r="E30" s="67">
        <v>7536551.1500000004</v>
      </c>
      <c r="F30" s="65"/>
      <c r="G30" s="56"/>
      <c r="H30" s="57"/>
      <c r="I30" s="57"/>
    </row>
    <row r="31" spans="2:9" ht="15" outlineLevel="1" x14ac:dyDescent="0.25">
      <c r="B31" s="55"/>
      <c r="C31" s="62"/>
      <c r="D31" s="74" t="s">
        <v>311</v>
      </c>
      <c r="E31" s="67">
        <v>143986385.84</v>
      </c>
      <c r="F31" s="65"/>
      <c r="G31" s="56"/>
      <c r="H31" s="57"/>
      <c r="I31" s="57"/>
    </row>
    <row r="32" spans="2:9" ht="6" customHeight="1" outlineLevel="1" x14ac:dyDescent="0.25">
      <c r="B32" s="55"/>
      <c r="C32" s="62"/>
      <c r="D32" s="57"/>
      <c r="E32" s="57"/>
      <c r="F32" s="65"/>
      <c r="G32" s="56"/>
      <c r="H32" s="57"/>
      <c r="I32" s="57"/>
    </row>
    <row r="33" spans="2:9" ht="15" outlineLevel="1" x14ac:dyDescent="0.25">
      <c r="B33" s="55"/>
      <c r="C33" s="62"/>
      <c r="D33" s="72" t="s">
        <v>312</v>
      </c>
      <c r="E33" s="73">
        <v>12110982.2060019</v>
      </c>
      <c r="F33" s="65"/>
      <c r="G33" s="56">
        <f>SUM(E26,E28,E29,E30,E33)</f>
        <v>297354616.55190194</v>
      </c>
      <c r="H33" s="57"/>
      <c r="I33" s="57"/>
    </row>
    <row r="34" spans="2:9" ht="6" customHeight="1" outlineLevel="1" x14ac:dyDescent="0.25">
      <c r="B34" s="55"/>
      <c r="C34" s="62"/>
      <c r="D34" s="57"/>
      <c r="E34" s="57"/>
      <c r="F34" s="65"/>
      <c r="G34" s="56"/>
      <c r="H34" s="57"/>
      <c r="I34" s="57"/>
    </row>
    <row r="35" spans="2:9" ht="15" outlineLevel="1" x14ac:dyDescent="0.25">
      <c r="B35" s="55"/>
      <c r="C35" s="62"/>
      <c r="D35" s="72" t="s">
        <v>313</v>
      </c>
      <c r="E35" s="73">
        <f>SUM(E36:E38)</f>
        <v>444247572.68777007</v>
      </c>
      <c r="F35" s="65"/>
      <c r="G35" s="56"/>
      <c r="H35" s="57"/>
      <c r="I35" s="57"/>
    </row>
    <row r="36" spans="2:9" ht="15" outlineLevel="1" x14ac:dyDescent="0.25">
      <c r="B36" s="55"/>
      <c r="C36" s="62"/>
      <c r="D36" s="74" t="s">
        <v>314</v>
      </c>
      <c r="E36" s="67">
        <v>320705182.41755182</v>
      </c>
      <c r="F36" s="65"/>
      <c r="G36" s="56"/>
      <c r="H36" s="57"/>
      <c r="I36" s="57"/>
    </row>
    <row r="37" spans="2:9" ht="15" outlineLevel="1" x14ac:dyDescent="0.25">
      <c r="B37" s="55"/>
      <c r="C37" s="62"/>
      <c r="D37" s="74" t="s">
        <v>315</v>
      </c>
      <c r="E37" s="67">
        <v>122566773.09510241</v>
      </c>
      <c r="F37" s="65"/>
      <c r="G37" s="56"/>
      <c r="H37" s="57"/>
      <c r="I37" s="57"/>
    </row>
    <row r="38" spans="2:9" ht="15" outlineLevel="1" x14ac:dyDescent="0.25">
      <c r="B38" s="55"/>
      <c r="C38" s="62"/>
      <c r="D38" s="74" t="s">
        <v>316</v>
      </c>
      <c r="E38" s="67">
        <v>975617.17511583015</v>
      </c>
      <c r="F38" s="65"/>
      <c r="G38" s="56"/>
      <c r="H38" s="57"/>
      <c r="I38" s="57"/>
    </row>
    <row r="39" spans="2:9" ht="15" outlineLevel="1" x14ac:dyDescent="0.25">
      <c r="B39" s="55"/>
      <c r="C39" s="62"/>
      <c r="D39" s="68" t="s">
        <v>301</v>
      </c>
      <c r="E39" s="69">
        <v>-5.6000000000000001E-2</v>
      </c>
      <c r="F39" s="65"/>
      <c r="G39" s="56"/>
      <c r="H39" s="57"/>
      <c r="I39" s="57"/>
    </row>
    <row r="40" spans="2:9" ht="6" customHeight="1" outlineLevel="1" thickBot="1" x14ac:dyDescent="0.3">
      <c r="B40" s="55"/>
      <c r="C40" s="62"/>
      <c r="D40" s="57"/>
      <c r="E40" s="57"/>
      <c r="F40" s="65"/>
      <c r="G40" s="56"/>
      <c r="H40" s="57"/>
      <c r="I40" s="57"/>
    </row>
    <row r="41" spans="2:9" ht="15" x14ac:dyDescent="0.25">
      <c r="B41" s="55"/>
      <c r="C41" s="62"/>
      <c r="D41" s="70" t="s">
        <v>317</v>
      </c>
      <c r="E41" s="71">
        <f>SUM(E24,E35)*(1+E39)+E33</f>
        <v>1425130270.7419548</v>
      </c>
      <c r="F41" s="65"/>
      <c r="G41" s="56"/>
      <c r="H41" s="57"/>
      <c r="I41" s="57"/>
    </row>
    <row r="42" spans="2:9" ht="9.75" customHeight="1" thickBot="1" x14ac:dyDescent="0.3">
      <c r="B42" s="55"/>
      <c r="C42" s="62"/>
      <c r="D42" s="75"/>
      <c r="E42" s="73"/>
      <c r="F42" s="65"/>
      <c r="G42" s="56"/>
      <c r="H42" s="57"/>
      <c r="I42" s="57"/>
    </row>
    <row r="43" spans="2:9" ht="15" x14ac:dyDescent="0.25">
      <c r="B43" s="55"/>
      <c r="C43" s="62"/>
      <c r="D43" s="76" t="s">
        <v>293</v>
      </c>
      <c r="E43" s="77" t="s">
        <v>295</v>
      </c>
      <c r="F43" s="65"/>
      <c r="G43" s="56"/>
      <c r="H43" s="57"/>
      <c r="I43" s="57"/>
    </row>
    <row r="44" spans="2:9" ht="6" customHeight="1" x14ac:dyDescent="0.25">
      <c r="B44" s="55"/>
      <c r="C44" s="62"/>
      <c r="D44" s="57"/>
      <c r="E44" s="58"/>
      <c r="F44" s="65"/>
      <c r="G44" s="56"/>
      <c r="H44" s="57"/>
      <c r="I44" s="57"/>
    </row>
    <row r="45" spans="2:9" ht="15" x14ac:dyDescent="0.25">
      <c r="B45" s="55"/>
      <c r="C45" s="62"/>
      <c r="D45" s="66" t="s">
        <v>318</v>
      </c>
      <c r="E45" s="67">
        <f>E20+E41</f>
        <v>1510105292.3587828</v>
      </c>
      <c r="F45" s="65"/>
      <c r="G45" s="56"/>
      <c r="H45" s="57"/>
      <c r="I45" s="57"/>
    </row>
    <row r="46" spans="2:9" ht="6" customHeight="1" x14ac:dyDescent="0.25">
      <c r="B46" s="55"/>
      <c r="C46" s="62"/>
      <c r="D46" s="57"/>
      <c r="E46" s="58"/>
      <c r="F46" s="65"/>
      <c r="G46" s="56"/>
      <c r="H46" s="57"/>
      <c r="I46" s="57"/>
    </row>
    <row r="47" spans="2:9" ht="15" x14ac:dyDescent="0.25">
      <c r="B47" s="55"/>
      <c r="C47" s="62"/>
      <c r="D47" s="68" t="s">
        <v>319</v>
      </c>
      <c r="E47" s="67">
        <v>-13556471.782993143</v>
      </c>
      <c r="F47" s="65"/>
      <c r="G47" s="56"/>
      <c r="H47" s="57"/>
      <c r="I47" s="57"/>
    </row>
    <row r="48" spans="2:9" ht="6" customHeight="1" x14ac:dyDescent="0.25">
      <c r="B48" s="55"/>
      <c r="C48" s="62"/>
      <c r="D48" s="57"/>
      <c r="E48" s="58"/>
      <c r="F48" s="65"/>
      <c r="G48" s="56"/>
      <c r="H48" s="57"/>
      <c r="I48" s="57"/>
    </row>
    <row r="49" spans="2:9" ht="15" x14ac:dyDescent="0.25">
      <c r="B49" s="55"/>
      <c r="C49" s="62"/>
      <c r="D49" s="66" t="s">
        <v>320</v>
      </c>
      <c r="E49" s="67">
        <f>(E45+E47)</f>
        <v>1496548820.5757897</v>
      </c>
      <c r="F49" s="65"/>
      <c r="G49" s="56"/>
      <c r="H49" s="57"/>
      <c r="I49" s="57"/>
    </row>
    <row r="50" spans="2:9" ht="6" customHeight="1" x14ac:dyDescent="0.25">
      <c r="B50" s="55"/>
      <c r="C50" s="62"/>
      <c r="D50" s="57"/>
      <c r="E50" s="58"/>
      <c r="F50" s="65"/>
      <c r="G50" s="56"/>
      <c r="H50" s="57"/>
      <c r="I50" s="57"/>
    </row>
    <row r="51" spans="2:9" ht="15" x14ac:dyDescent="0.25">
      <c r="B51" s="55"/>
      <c r="C51" s="62"/>
      <c r="D51" s="66" t="s">
        <v>321</v>
      </c>
      <c r="E51" s="67">
        <v>1564407614.491673</v>
      </c>
      <c r="F51" s="65"/>
      <c r="G51" s="56"/>
      <c r="H51" s="57"/>
      <c r="I51" s="57"/>
    </row>
    <row r="52" spans="2:9" ht="6" customHeight="1" x14ac:dyDescent="0.25">
      <c r="B52" s="55"/>
      <c r="C52" s="62"/>
      <c r="D52" s="57"/>
      <c r="E52" s="58"/>
      <c r="F52" s="65"/>
      <c r="G52" s="56"/>
      <c r="H52" s="57"/>
      <c r="I52" s="57"/>
    </row>
    <row r="53" spans="2:9" ht="15" x14ac:dyDescent="0.25">
      <c r="B53" s="55"/>
      <c r="C53" s="62"/>
      <c r="D53" s="78" t="s">
        <v>322</v>
      </c>
      <c r="E53" s="79">
        <f>E49/E51-1</f>
        <v>-4.3376670688177965E-2</v>
      </c>
      <c r="F53" s="65"/>
      <c r="G53" s="56"/>
      <c r="H53" s="57"/>
      <c r="I53" s="57"/>
    </row>
    <row r="54" spans="2:9" ht="9" customHeight="1" thickBot="1" x14ac:dyDescent="0.3">
      <c r="B54" s="55"/>
      <c r="C54" s="80"/>
      <c r="D54" s="81"/>
      <c r="E54" s="81"/>
      <c r="F54" s="82"/>
      <c r="G54" s="56"/>
      <c r="H54" s="48"/>
      <c r="I54" s="48"/>
    </row>
    <row r="55" spans="2:9" ht="4.9000000000000004" customHeight="1" x14ac:dyDescent="0.25">
      <c r="B55" s="83"/>
      <c r="C55" s="84"/>
      <c r="D55" s="85"/>
      <c r="E55" s="85"/>
      <c r="F55" s="84"/>
      <c r="G55" s="86"/>
      <c r="H55" s="48"/>
      <c r="I55" s="48"/>
    </row>
    <row r="56" spans="2:9" ht="15" x14ac:dyDescent="0.25"/>
    <row r="57" spans="2:9" ht="15" x14ac:dyDescent="0.25"/>
    <row r="58" spans="2:9" ht="15" x14ac:dyDescent="0.25">
      <c r="E58" s="371"/>
    </row>
    <row r="59" spans="2:9" ht="15" x14ac:dyDescent="0.25">
      <c r="E59" s="370"/>
    </row>
    <row r="60" spans="2:9" ht="15" x14ac:dyDescent="0.25">
      <c r="E60" s="370"/>
    </row>
    <row r="61" spans="2:9" ht="15" x14ac:dyDescent="0.25">
      <c r="E61" s="370"/>
    </row>
    <row r="62" spans="2:9" ht="15" x14ac:dyDescent="0.25">
      <c r="E62" s="370"/>
    </row>
    <row r="63" spans="2:9" ht="15" x14ac:dyDescent="0.25">
      <c r="E63" s="370"/>
    </row>
    <row r="64" spans="2:9" ht="15" x14ac:dyDescent="0.25">
      <c r="E64" s="370"/>
    </row>
    <row r="65" spans="5:5" ht="15" x14ac:dyDescent="0.25">
      <c r="E65" s="370"/>
    </row>
    <row r="66" spans="5:5" ht="15" x14ac:dyDescent="0.25">
      <c r="E66" s="370"/>
    </row>
    <row r="67" spans="5:5" ht="15" x14ac:dyDescent="0.25">
      <c r="E67" s="370"/>
    </row>
    <row r="68" spans="5:5" ht="15" x14ac:dyDescent="0.25">
      <c r="E68" s="370"/>
    </row>
    <row r="69" spans="5:5" ht="15" x14ac:dyDescent="0.25">
      <c r="E69" s="370"/>
    </row>
    <row r="70" spans="5:5" ht="15" x14ac:dyDescent="0.25"/>
    <row r="71" spans="5:5" ht="15" x14ac:dyDescent="0.25"/>
    <row r="72" spans="5:5" ht="15" x14ac:dyDescent="0.25"/>
    <row r="73" spans="5:5" ht="15" x14ac:dyDescent="0.25"/>
    <row r="74" spans="5:5" ht="15" x14ac:dyDescent="0.25"/>
    <row r="75" spans="5:5" ht="15" x14ac:dyDescent="0.25"/>
    <row r="76" spans="5:5" ht="15" x14ac:dyDescent="0.25"/>
    <row r="77" spans="5:5" ht="15" x14ac:dyDescent="0.25"/>
    <row r="78" spans="5:5" ht="15" x14ac:dyDescent="0.25"/>
    <row r="79" spans="5:5" ht="15" x14ac:dyDescent="0.25"/>
    <row r="80" spans="5:5" ht="15" x14ac:dyDescent="0.25"/>
    <row r="81" ht="15" x14ac:dyDescent="0.25"/>
    <row r="82" ht="15" x14ac:dyDescent="0.25"/>
    <row r="83" ht="15" x14ac:dyDescent="0.25"/>
    <row r="84" ht="15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</sheetData>
  <mergeCells count="1">
    <mergeCell ref="C8:F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50F7-CFE2-4D1B-99AA-69EE3C0750B0}">
  <sheetPr codeName="Planilha5"/>
  <dimension ref="A1:AB35"/>
  <sheetViews>
    <sheetView showGridLines="0" showRowColHeaders="0" zoomScaleNormal="100" workbookViewId="0"/>
  </sheetViews>
  <sheetFormatPr defaultColWidth="0" defaultRowHeight="15" zeroHeight="1" x14ac:dyDescent="0.25"/>
  <cols>
    <col min="1" max="12" width="9.140625" customWidth="1"/>
    <col min="13" max="13" width="17.7109375" customWidth="1"/>
    <col min="14" max="23" width="9.140625" customWidth="1"/>
    <col min="24" max="24" width="4" customWidth="1"/>
    <col min="25" max="25" width="9.140625" customWidth="1"/>
    <col min="26" max="26" width="5.28515625" customWidth="1"/>
    <col min="27" max="27" width="14.140625" customWidth="1"/>
    <col min="28" max="28" width="7.140625" customWidth="1"/>
    <col min="29" max="16384" width="9.140625" hidden="1"/>
  </cols>
  <sheetData>
    <row r="1" spans="6:21" s="26" customFormat="1" ht="3" customHeight="1" x14ac:dyDescent="0.25"/>
    <row r="2" spans="6:21" s="26" customFormat="1" x14ac:dyDescent="0.25"/>
    <row r="3" spans="6:21" s="108" customFormat="1" x14ac:dyDescent="0.25"/>
    <row r="4" spans="6:21" s="108" customFormat="1" x14ac:dyDescent="0.25"/>
    <row r="5" spans="6:21" s="108" customFormat="1" ht="20.100000000000001" customHeight="1" x14ac:dyDescent="0.25"/>
    <row r="6" spans="6:21" x14ac:dyDescent="0.25"/>
    <row r="7" spans="6:21" x14ac:dyDescent="0.25"/>
    <row r="8" spans="6:21" x14ac:dyDescent="0.25"/>
    <row r="9" spans="6:21" x14ac:dyDescent="0.25"/>
    <row r="10" spans="6:21" x14ac:dyDescent="0.25"/>
    <row r="11" spans="6:21" x14ac:dyDescent="0.25">
      <c r="F11" s="387" t="s">
        <v>0</v>
      </c>
      <c r="G11" s="388"/>
      <c r="H11" s="388"/>
      <c r="I11" s="388"/>
      <c r="J11" s="388"/>
      <c r="K11" s="388"/>
      <c r="L11" s="388"/>
      <c r="M11" s="388"/>
      <c r="N11" s="389"/>
      <c r="O11" s="387" t="s">
        <v>1</v>
      </c>
      <c r="P11" s="388"/>
      <c r="Q11" s="388"/>
      <c r="R11" s="389"/>
      <c r="S11" s="175"/>
      <c r="U11" s="158"/>
    </row>
    <row r="12" spans="6:21" ht="18" customHeight="1" x14ac:dyDescent="0.25">
      <c r="F12" s="383" t="s">
        <v>2</v>
      </c>
      <c r="G12" s="384"/>
      <c r="H12" s="384"/>
      <c r="I12" s="384"/>
      <c r="J12" s="384"/>
      <c r="K12" s="384"/>
      <c r="L12" s="384"/>
      <c r="M12" s="384"/>
      <c r="N12" s="385"/>
      <c r="O12" s="386" t="s">
        <v>3</v>
      </c>
      <c r="P12" s="386"/>
      <c r="Q12" s="386"/>
      <c r="R12" s="386"/>
      <c r="S12" s="175"/>
    </row>
    <row r="13" spans="6:21" ht="18" customHeight="1" x14ac:dyDescent="0.25">
      <c r="F13" s="383" t="s">
        <v>4</v>
      </c>
      <c r="G13" s="384"/>
      <c r="H13" s="384"/>
      <c r="I13" s="384"/>
      <c r="J13" s="384"/>
      <c r="K13" s="384"/>
      <c r="L13" s="384"/>
      <c r="M13" s="384"/>
      <c r="N13" s="385"/>
      <c r="O13" s="386" t="s">
        <v>5</v>
      </c>
      <c r="P13" s="386"/>
      <c r="Q13" s="386"/>
      <c r="R13" s="386"/>
      <c r="S13" s="175"/>
    </row>
    <row r="14" spans="6:21" ht="18" customHeight="1" x14ac:dyDescent="0.25">
      <c r="F14" s="383" t="s">
        <v>6</v>
      </c>
      <c r="G14" s="384"/>
      <c r="H14" s="384"/>
      <c r="I14" s="384"/>
      <c r="J14" s="384"/>
      <c r="K14" s="384"/>
      <c r="L14" s="384"/>
      <c r="M14" s="384"/>
      <c r="N14" s="385"/>
      <c r="O14" s="386" t="s">
        <v>7</v>
      </c>
      <c r="P14" s="386"/>
      <c r="Q14" s="386"/>
      <c r="R14" s="386"/>
      <c r="S14" s="175"/>
    </row>
    <row r="15" spans="6:21" ht="18" customHeight="1" x14ac:dyDescent="0.25">
      <c r="F15" s="383" t="s">
        <v>8</v>
      </c>
      <c r="G15" s="384"/>
      <c r="H15" s="384"/>
      <c r="I15" s="384"/>
      <c r="J15" s="384"/>
      <c r="K15" s="384"/>
      <c r="L15" s="384"/>
      <c r="M15" s="384"/>
      <c r="N15" s="385"/>
      <c r="O15" s="386" t="s">
        <v>3</v>
      </c>
      <c r="P15" s="386"/>
      <c r="Q15" s="386"/>
      <c r="R15" s="386"/>
      <c r="S15" s="175"/>
    </row>
    <row r="16" spans="6:21" ht="18" customHeight="1" x14ac:dyDescent="0.25">
      <c r="F16" s="383" t="s">
        <v>9</v>
      </c>
      <c r="G16" s="384"/>
      <c r="H16" s="384"/>
      <c r="I16" s="384"/>
      <c r="J16" s="384"/>
      <c r="K16" s="384"/>
      <c r="L16" s="384"/>
      <c r="M16" s="384"/>
      <c r="N16" s="385"/>
      <c r="O16" s="386" t="s">
        <v>10</v>
      </c>
      <c r="P16" s="386"/>
      <c r="Q16" s="386"/>
      <c r="R16" s="386"/>
      <c r="S16" s="175"/>
    </row>
    <row r="17" spans="6:19" ht="18" customHeight="1" x14ac:dyDescent="0.25">
      <c r="F17" s="383" t="s">
        <v>11</v>
      </c>
      <c r="G17" s="384"/>
      <c r="H17" s="384"/>
      <c r="I17" s="384"/>
      <c r="J17" s="384"/>
      <c r="K17" s="384"/>
      <c r="L17" s="384"/>
      <c r="M17" s="384"/>
      <c r="N17" s="385"/>
      <c r="O17" s="386" t="s">
        <v>10</v>
      </c>
      <c r="P17" s="386"/>
      <c r="Q17" s="386"/>
      <c r="R17" s="386"/>
      <c r="S17" s="175"/>
    </row>
    <row r="18" spans="6:19" ht="18" customHeight="1" x14ac:dyDescent="0.25">
      <c r="F18" s="383" t="s">
        <v>12</v>
      </c>
      <c r="G18" s="384"/>
      <c r="H18" s="384"/>
      <c r="I18" s="384"/>
      <c r="J18" s="384"/>
      <c r="K18" s="384"/>
      <c r="L18" s="384"/>
      <c r="M18" s="384"/>
      <c r="N18" s="385"/>
      <c r="O18" s="386" t="s">
        <v>13</v>
      </c>
      <c r="P18" s="386"/>
      <c r="Q18" s="386"/>
      <c r="R18" s="386"/>
      <c r="S18" s="175"/>
    </row>
    <row r="19" spans="6:19" ht="18" customHeight="1" x14ac:dyDescent="0.25">
      <c r="F19" s="383" t="s">
        <v>14</v>
      </c>
      <c r="G19" s="384"/>
      <c r="H19" s="384"/>
      <c r="I19" s="384"/>
      <c r="J19" s="384"/>
      <c r="K19" s="384"/>
      <c r="L19" s="384"/>
      <c r="M19" s="384"/>
      <c r="N19" s="385"/>
      <c r="O19" s="386" t="s">
        <v>10</v>
      </c>
      <c r="P19" s="386"/>
      <c r="Q19" s="386"/>
      <c r="R19" s="386"/>
    </row>
    <row r="20" spans="6:19" x14ac:dyDescent="0.25"/>
    <row r="21" spans="6:19" x14ac:dyDescent="0.25"/>
    <row r="22" spans="6:19" x14ac:dyDescent="0.25"/>
    <row r="23" spans="6:19" x14ac:dyDescent="0.25"/>
    <row r="24" spans="6:19" x14ac:dyDescent="0.25"/>
    <row r="25" spans="6:19" x14ac:dyDescent="0.25"/>
    <row r="26" spans="6:19" x14ac:dyDescent="0.25"/>
    <row r="27" spans="6:19" x14ac:dyDescent="0.25"/>
    <row r="28" spans="6:19" x14ac:dyDescent="0.25"/>
    <row r="29" spans="6:19" x14ac:dyDescent="0.25"/>
    <row r="30" spans="6:19" x14ac:dyDescent="0.25"/>
    <row r="31" spans="6:19" x14ac:dyDescent="0.25"/>
    <row r="32" spans="6:19" x14ac:dyDescent="0.25"/>
    <row r="33" x14ac:dyDescent="0.25"/>
    <row r="34" x14ac:dyDescent="0.25"/>
    <row r="35" x14ac:dyDescent="0.25"/>
  </sheetData>
  <mergeCells count="18">
    <mergeCell ref="O11:R11"/>
    <mergeCell ref="F11:N11"/>
    <mergeCell ref="F15:N15"/>
    <mergeCell ref="F16:N16"/>
    <mergeCell ref="F17:N17"/>
    <mergeCell ref="O12:R12"/>
    <mergeCell ref="O13:R13"/>
    <mergeCell ref="O14:R14"/>
    <mergeCell ref="O15:R15"/>
    <mergeCell ref="F12:N12"/>
    <mergeCell ref="F13:N13"/>
    <mergeCell ref="F14:N14"/>
    <mergeCell ref="F18:N18"/>
    <mergeCell ref="F19:N19"/>
    <mergeCell ref="O18:R18"/>
    <mergeCell ref="O19:R19"/>
    <mergeCell ref="O16:R16"/>
    <mergeCell ref="O17:R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5CCA-3F63-4FF9-8DDB-E12298265160}">
  <sheetPr codeName="Planilha6">
    <tabColor theme="3" tint="0.79998168889431442"/>
  </sheetPr>
  <dimension ref="A1:X50"/>
  <sheetViews>
    <sheetView showGridLines="0" showRowColHeaders="0" zoomScaleNormal="100" workbookViewId="0"/>
  </sheetViews>
  <sheetFormatPr defaultColWidth="0" defaultRowHeight="15" zeroHeight="1" x14ac:dyDescent="0.25"/>
  <cols>
    <col min="1" max="1" width="6.5703125" customWidth="1"/>
    <col min="2" max="2" width="12" customWidth="1"/>
    <col min="3" max="3" width="15.28515625" bestFit="1" customWidth="1"/>
    <col min="4" max="4" width="15" customWidth="1"/>
    <col min="5" max="5" width="10.42578125" bestFit="1" customWidth="1"/>
    <col min="6" max="7" width="15.28515625" bestFit="1" customWidth="1"/>
    <col min="8" max="8" width="10.7109375" customWidth="1"/>
    <col min="9" max="9" width="10.42578125" bestFit="1" customWidth="1"/>
    <col min="10" max="10" width="9.5703125" customWidth="1"/>
    <col min="11" max="11" width="15.28515625" bestFit="1" customWidth="1"/>
    <col min="12" max="12" width="15" customWidth="1"/>
    <col min="13" max="13" width="10" customWidth="1"/>
    <col min="14" max="14" width="15.28515625" bestFit="1" customWidth="1"/>
    <col min="15" max="15" width="15" customWidth="1"/>
    <col min="16" max="16" width="14.85546875" customWidth="1"/>
    <col min="17" max="18" width="15.28515625" bestFit="1" customWidth="1"/>
    <col min="19" max="19" width="9.85546875" customWidth="1"/>
    <col min="20" max="20" width="11.85546875" customWidth="1"/>
    <col min="21" max="24" width="14.140625" hidden="1" customWidth="1"/>
    <col min="25" max="16384" width="9.140625" hidden="1"/>
  </cols>
  <sheetData>
    <row r="1" spans="2:9" s="26" customFormat="1" ht="3" customHeight="1" x14ac:dyDescent="0.25"/>
    <row r="2" spans="2:9" s="26" customFormat="1" x14ac:dyDescent="0.25"/>
    <row r="3" spans="2:9" s="108" customFormat="1" x14ac:dyDescent="0.25"/>
    <row r="4" spans="2:9" s="108" customFormat="1" x14ac:dyDescent="0.25"/>
    <row r="5" spans="2:9" s="108" customFormat="1" ht="20.100000000000001" customHeight="1" x14ac:dyDescent="0.25"/>
    <row r="6" spans="2:9" s="26" customFormat="1" ht="6.75" customHeight="1" x14ac:dyDescent="0.25"/>
    <row r="7" spans="2:9" x14ac:dyDescent="0.25"/>
    <row r="8" spans="2:9" x14ac:dyDescent="0.25">
      <c r="B8" s="387" t="s">
        <v>15</v>
      </c>
      <c r="C8" s="388"/>
      <c r="D8" s="388"/>
      <c r="E8" s="388"/>
      <c r="F8" s="388"/>
      <c r="G8" s="389"/>
      <c r="H8" s="149"/>
      <c r="I8" s="39"/>
    </row>
    <row r="9" spans="2:9" ht="32.25" customHeight="1" x14ac:dyDescent="0.25">
      <c r="B9" s="393" t="s">
        <v>16</v>
      </c>
      <c r="C9" s="394"/>
      <c r="D9" s="395"/>
      <c r="E9" s="135" t="s">
        <v>17</v>
      </c>
      <c r="F9" s="135" t="s">
        <v>18</v>
      </c>
      <c r="G9" s="135" t="s">
        <v>19</v>
      </c>
      <c r="H9" s="152"/>
      <c r="I9" s="39"/>
    </row>
    <row r="10" spans="2:9" x14ac:dyDescent="0.25">
      <c r="B10" s="390">
        <v>44166</v>
      </c>
      <c r="C10" s="391"/>
      <c r="D10" s="392"/>
      <c r="E10" s="136">
        <v>5746.71</v>
      </c>
      <c r="F10" s="136">
        <v>5560.59</v>
      </c>
      <c r="G10" s="136">
        <v>934.75800000000004</v>
      </c>
      <c r="H10" s="154"/>
      <c r="I10" s="112"/>
    </row>
    <row r="11" spans="2:9" x14ac:dyDescent="0.25">
      <c r="B11" s="390">
        <f t="shared" ref="B11:B22" si="0">+B10+31</f>
        <v>44197</v>
      </c>
      <c r="C11" s="391"/>
      <c r="D11" s="392"/>
      <c r="E11" s="136">
        <v>5762.23</v>
      </c>
      <c r="F11" s="136">
        <v>5574.49</v>
      </c>
      <c r="G11" s="136">
        <v>958.84400000000005</v>
      </c>
      <c r="H11" s="154"/>
      <c r="I11" s="113"/>
    </row>
    <row r="12" spans="2:9" x14ac:dyDescent="0.25">
      <c r="B12" s="390">
        <f t="shared" si="0"/>
        <v>44228</v>
      </c>
      <c r="C12" s="391"/>
      <c r="D12" s="392"/>
      <c r="E12" s="136">
        <v>5809.48</v>
      </c>
      <c r="F12" s="136">
        <v>5622.43</v>
      </c>
      <c r="G12" s="136">
        <v>983.06299999999999</v>
      </c>
      <c r="H12" s="154"/>
      <c r="I12" s="113"/>
    </row>
    <row r="13" spans="2:9" x14ac:dyDescent="0.25">
      <c r="B13" s="390">
        <f t="shared" si="0"/>
        <v>44259</v>
      </c>
      <c r="C13" s="391"/>
      <c r="D13" s="392"/>
      <c r="E13" s="136">
        <v>5859.44</v>
      </c>
      <c r="F13" s="136">
        <v>5674.72</v>
      </c>
      <c r="G13" s="136">
        <v>1011.948</v>
      </c>
      <c r="H13" s="154"/>
      <c r="I13" s="113"/>
    </row>
    <row r="14" spans="2:9" x14ac:dyDescent="0.25">
      <c r="B14" s="390">
        <f t="shared" si="0"/>
        <v>44290</v>
      </c>
      <c r="C14" s="391"/>
      <c r="D14" s="392"/>
      <c r="E14" s="136">
        <v>5881.71</v>
      </c>
      <c r="F14" s="136">
        <v>5692.31</v>
      </c>
      <c r="G14" s="136">
        <v>1027.211</v>
      </c>
      <c r="H14" s="154"/>
      <c r="I14" s="113"/>
    </row>
    <row r="15" spans="2:9" x14ac:dyDescent="0.25">
      <c r="B15" s="390">
        <f t="shared" si="0"/>
        <v>44321</v>
      </c>
      <c r="C15" s="391"/>
      <c r="D15" s="392"/>
      <c r="E15" s="136">
        <v>5938.17</v>
      </c>
      <c r="F15" s="136">
        <v>5739.56</v>
      </c>
      <c r="G15" s="136">
        <v>1069.289</v>
      </c>
      <c r="H15" s="154"/>
      <c r="I15" s="113"/>
    </row>
    <row r="16" spans="2:9" x14ac:dyDescent="0.25">
      <c r="B16" s="390">
        <f t="shared" si="0"/>
        <v>44352</v>
      </c>
      <c r="C16" s="391"/>
      <c r="D16" s="392"/>
      <c r="E16" s="136">
        <v>5973.8</v>
      </c>
      <c r="F16" s="136">
        <v>5769.98</v>
      </c>
      <c r="G16" s="136">
        <v>1075.7329999999999</v>
      </c>
      <c r="H16" s="154"/>
      <c r="I16" s="113"/>
    </row>
    <row r="17" spans="2:19" x14ac:dyDescent="0.25">
      <c r="B17" s="390">
        <f t="shared" si="0"/>
        <v>44383</v>
      </c>
      <c r="C17" s="391"/>
      <c r="D17" s="392"/>
      <c r="E17" s="136">
        <v>6034.73</v>
      </c>
      <c r="F17" s="136">
        <v>5825.37</v>
      </c>
      <c r="G17" s="136">
        <v>1084.095</v>
      </c>
      <c r="H17" s="154"/>
      <c r="I17" s="113"/>
    </row>
    <row r="18" spans="2:19" x14ac:dyDescent="0.25">
      <c r="B18" s="390">
        <f t="shared" si="0"/>
        <v>44414</v>
      </c>
      <c r="C18" s="391"/>
      <c r="D18" s="392"/>
      <c r="E18" s="136">
        <v>6087.84</v>
      </c>
      <c r="F18" s="136">
        <v>5876.05</v>
      </c>
      <c r="G18" s="136">
        <v>1091.29</v>
      </c>
      <c r="H18" s="154"/>
      <c r="I18" s="113"/>
    </row>
    <row r="19" spans="2:19" x14ac:dyDescent="0.25">
      <c r="B19" s="390">
        <f t="shared" si="0"/>
        <v>44445</v>
      </c>
      <c r="C19" s="391"/>
      <c r="D19" s="392"/>
      <c r="E19" s="136">
        <v>6160.89</v>
      </c>
      <c r="F19" s="136">
        <v>5944.21</v>
      </c>
      <c r="G19" s="136">
        <v>1084.3119999999999</v>
      </c>
      <c r="H19" s="154"/>
      <c r="I19" s="113"/>
    </row>
    <row r="20" spans="2:19" x14ac:dyDescent="0.25">
      <c r="B20" s="390">
        <f t="shared" si="0"/>
        <v>44476</v>
      </c>
      <c r="C20" s="391"/>
      <c r="D20" s="392"/>
      <c r="E20" s="136">
        <v>6232.36</v>
      </c>
      <c r="F20" s="136">
        <v>6018.51</v>
      </c>
      <c r="G20" s="136">
        <v>1091.2829999999999</v>
      </c>
      <c r="H20" s="154"/>
      <c r="I20" s="113"/>
    </row>
    <row r="21" spans="2:19" x14ac:dyDescent="0.25">
      <c r="B21" s="390">
        <f t="shared" si="0"/>
        <v>44507</v>
      </c>
      <c r="C21" s="391"/>
      <c r="D21" s="392"/>
      <c r="E21" s="136">
        <v>6284.71</v>
      </c>
      <c r="F21" s="136">
        <v>6075.69</v>
      </c>
      <c r="G21" s="136">
        <v>1091.4829999999999</v>
      </c>
      <c r="H21" s="154"/>
      <c r="I21" s="113"/>
    </row>
    <row r="22" spans="2:19" ht="15" customHeight="1" x14ac:dyDescent="0.25">
      <c r="B22" s="390">
        <f t="shared" si="0"/>
        <v>44538</v>
      </c>
      <c r="C22" s="391"/>
      <c r="D22" s="392"/>
      <c r="E22" s="136">
        <v>6330.59</v>
      </c>
      <c r="F22" s="136">
        <v>6120.04</v>
      </c>
      <c r="G22" s="136">
        <v>1100.9880000000001</v>
      </c>
      <c r="H22" s="154"/>
      <c r="I22" s="113"/>
    </row>
    <row r="23" spans="2:19" ht="15" customHeight="1" x14ac:dyDescent="0.25">
      <c r="B23" s="387" t="s">
        <v>20</v>
      </c>
      <c r="C23" s="388"/>
      <c r="D23" s="389"/>
      <c r="E23" s="121">
        <f>E22/E10-1</f>
        <v>0.1016024821158541</v>
      </c>
      <c r="F23" s="121">
        <f>F22/F10-1</f>
        <v>0.10060982737443336</v>
      </c>
      <c r="G23" s="121">
        <f t="shared" ref="G23" si="1">G22/G10-1</f>
        <v>0.17783212339450416</v>
      </c>
      <c r="H23" s="160"/>
      <c r="I23" s="113"/>
    </row>
    <row r="24" spans="2:19" ht="15" customHeight="1" x14ac:dyDescent="0.25">
      <c r="B24" s="146" t="s">
        <v>21</v>
      </c>
      <c r="C24" s="115"/>
      <c r="D24" s="115"/>
      <c r="E24" s="39"/>
      <c r="F24" s="39"/>
      <c r="G24" s="39"/>
      <c r="H24" s="39"/>
      <c r="I24" s="39"/>
    </row>
    <row r="25" spans="2:19" x14ac:dyDescent="0.25">
      <c r="B25" s="39"/>
      <c r="C25" s="117"/>
      <c r="D25" s="117"/>
      <c r="E25" s="39"/>
      <c r="F25" s="39"/>
      <c r="G25" s="39"/>
      <c r="H25" s="39"/>
      <c r="I25" s="39"/>
      <c r="J25" s="39"/>
    </row>
    <row r="26" spans="2:19" x14ac:dyDescent="0.25">
      <c r="B26" s="387" t="s">
        <v>22</v>
      </c>
      <c r="C26" s="388"/>
      <c r="D26" s="388"/>
      <c r="E26" s="388"/>
      <c r="F26" s="388"/>
      <c r="G26" s="389"/>
      <c r="H26" s="39"/>
      <c r="I26" s="39"/>
    </row>
    <row r="27" spans="2:19" ht="31.5" customHeight="1" x14ac:dyDescent="0.25">
      <c r="B27" s="135" t="s">
        <v>23</v>
      </c>
      <c r="C27" s="135" t="s">
        <v>24</v>
      </c>
      <c r="D27" s="135" t="s">
        <v>25</v>
      </c>
      <c r="E27" s="135" t="s">
        <v>23</v>
      </c>
      <c r="F27" s="135" t="s">
        <v>24</v>
      </c>
      <c r="G27" s="135" t="s">
        <v>26</v>
      </c>
      <c r="H27" s="39"/>
      <c r="I27" s="39"/>
    </row>
    <row r="28" spans="2:19" ht="15" customHeight="1" x14ac:dyDescent="0.25">
      <c r="B28" s="137">
        <v>43831</v>
      </c>
      <c r="C28" s="138">
        <v>11210106.59</v>
      </c>
      <c r="D28" s="138">
        <v>23425627</v>
      </c>
      <c r="E28" s="137">
        <f>EDATE(B39,1)</f>
        <v>44197</v>
      </c>
      <c r="F28" s="138">
        <v>10139508.15</v>
      </c>
      <c r="G28" s="138">
        <v>18307076</v>
      </c>
      <c r="H28" s="39"/>
      <c r="I28" s="39"/>
    </row>
    <row r="29" spans="2:19" ht="15" customHeight="1" x14ac:dyDescent="0.25">
      <c r="B29" s="137">
        <v>43862</v>
      </c>
      <c r="C29" s="138">
        <v>11178058.51</v>
      </c>
      <c r="D29" s="138">
        <v>24087787</v>
      </c>
      <c r="E29" s="137">
        <f t="shared" ref="E29:E39" si="2">EDATE(E28,1)</f>
        <v>44228</v>
      </c>
      <c r="F29" s="138">
        <v>10782819.970000001</v>
      </c>
      <c r="G29" s="138">
        <v>23636867</v>
      </c>
      <c r="H29" s="39"/>
      <c r="I29" s="39"/>
    </row>
    <row r="30" spans="2:19" ht="15" customHeight="1" x14ac:dyDescent="0.25">
      <c r="B30" s="137">
        <v>43891</v>
      </c>
      <c r="C30" s="138">
        <v>10389999.48</v>
      </c>
      <c r="D30" s="138">
        <v>22571126</v>
      </c>
      <c r="E30" s="137">
        <f t="shared" si="2"/>
        <v>44256</v>
      </c>
      <c r="F30" s="138">
        <v>10082802.5</v>
      </c>
      <c r="G30" s="138">
        <v>21027178</v>
      </c>
      <c r="H30" s="39"/>
      <c r="I30" s="39"/>
    </row>
    <row r="31" spans="2:19" ht="15" customHeight="1" x14ac:dyDescent="0.25">
      <c r="B31" s="137">
        <v>43922</v>
      </c>
      <c r="C31" s="138">
        <v>11016193.699999999</v>
      </c>
      <c r="D31" s="138">
        <v>24236003</v>
      </c>
      <c r="E31" s="137">
        <f t="shared" si="2"/>
        <v>44287</v>
      </c>
      <c r="F31" s="138">
        <v>12386625.779999999</v>
      </c>
      <c r="G31" s="138">
        <v>26992191</v>
      </c>
      <c r="H31" s="39"/>
      <c r="I31" s="39"/>
      <c r="K31" s="118"/>
    </row>
    <row r="32" spans="2:19" ht="15" customHeight="1" x14ac:dyDescent="0.25">
      <c r="B32" s="137">
        <v>43952</v>
      </c>
      <c r="C32" s="138">
        <v>10362289</v>
      </c>
      <c r="D32" s="138">
        <v>22781057</v>
      </c>
      <c r="E32" s="137">
        <f t="shared" si="2"/>
        <v>44317</v>
      </c>
      <c r="F32" s="138">
        <v>10110344.529999999</v>
      </c>
      <c r="G32" s="138">
        <v>21314880</v>
      </c>
      <c r="H32" s="39"/>
      <c r="I32" s="39"/>
      <c r="J32" s="39"/>
      <c r="K32" s="39"/>
      <c r="S32" s="119"/>
    </row>
    <row r="33" spans="2:10" ht="15" customHeight="1" x14ac:dyDescent="0.25">
      <c r="B33" s="137">
        <v>43983</v>
      </c>
      <c r="C33" s="138">
        <v>10737691.119999999</v>
      </c>
      <c r="D33" s="138">
        <v>23629188</v>
      </c>
      <c r="E33" s="137">
        <f t="shared" si="2"/>
        <v>44348</v>
      </c>
      <c r="F33" s="138">
        <v>12050304.689999999</v>
      </c>
      <c r="G33" s="138">
        <v>24042607</v>
      </c>
    </row>
    <row r="34" spans="2:10" ht="15" customHeight="1" x14ac:dyDescent="0.25">
      <c r="B34" s="137">
        <v>44013</v>
      </c>
      <c r="C34" s="138">
        <v>10437042.68</v>
      </c>
      <c r="D34" s="138">
        <v>23147094</v>
      </c>
      <c r="E34" s="137">
        <f t="shared" si="2"/>
        <v>44378</v>
      </c>
      <c r="F34" s="138">
        <v>12506815.4</v>
      </c>
      <c r="G34" s="138">
        <v>23174577</v>
      </c>
    </row>
    <row r="35" spans="2:10" ht="15" customHeight="1" x14ac:dyDescent="0.25">
      <c r="B35" s="137">
        <v>44044</v>
      </c>
      <c r="C35" s="138">
        <v>10819442.18</v>
      </c>
      <c r="D35" s="138">
        <v>24058185</v>
      </c>
      <c r="E35" s="137">
        <f t="shared" si="2"/>
        <v>44409</v>
      </c>
      <c r="F35" s="138">
        <v>14206310.66</v>
      </c>
      <c r="G35" s="138">
        <v>23647496</v>
      </c>
    </row>
    <row r="36" spans="2:10" ht="15" customHeight="1" x14ac:dyDescent="0.25">
      <c r="B36" s="137">
        <v>44075</v>
      </c>
      <c r="C36" s="138">
        <v>11114946.539999999</v>
      </c>
      <c r="D36" s="138">
        <v>24798608</v>
      </c>
      <c r="E36" s="137">
        <f t="shared" si="2"/>
        <v>44440</v>
      </c>
      <c r="F36" s="138">
        <v>15084420.119999999</v>
      </c>
      <c r="G36" s="138">
        <v>25081350</v>
      </c>
    </row>
    <row r="37" spans="2:10" ht="15" customHeight="1" x14ac:dyDescent="0.25">
      <c r="B37" s="137">
        <v>44105</v>
      </c>
      <c r="C37" s="138">
        <v>11094302.01</v>
      </c>
      <c r="D37" s="138">
        <v>24873801</v>
      </c>
      <c r="E37" s="137">
        <f t="shared" si="2"/>
        <v>44470</v>
      </c>
      <c r="F37" s="138">
        <v>15871109.66</v>
      </c>
      <c r="G37" s="138">
        <v>25444518</v>
      </c>
    </row>
    <row r="38" spans="2:10" ht="15" customHeight="1" x14ac:dyDescent="0.25">
      <c r="B38" s="137">
        <v>44136</v>
      </c>
      <c r="C38" s="138">
        <v>10864819.530000001</v>
      </c>
      <c r="D38" s="138">
        <v>23841001</v>
      </c>
      <c r="E38" s="137">
        <f t="shared" si="2"/>
        <v>44501</v>
      </c>
      <c r="F38" s="138">
        <v>16685436.199999999</v>
      </c>
      <c r="G38" s="138">
        <v>25060425</v>
      </c>
    </row>
    <row r="39" spans="2:10" ht="15" customHeight="1" x14ac:dyDescent="0.25">
      <c r="B39" s="137">
        <v>44166</v>
      </c>
      <c r="C39" s="138">
        <v>11365998.400000004</v>
      </c>
      <c r="D39" s="138">
        <v>23085785</v>
      </c>
      <c r="E39" s="137">
        <f t="shared" si="2"/>
        <v>44531</v>
      </c>
      <c r="F39" s="138">
        <v>17428856.640000001</v>
      </c>
      <c r="G39" s="138">
        <v>24089869</v>
      </c>
    </row>
    <row r="40" spans="2:10" ht="15" customHeight="1" x14ac:dyDescent="0.25">
      <c r="B40" s="120" t="s">
        <v>27</v>
      </c>
      <c r="C40" s="122">
        <f>SUM(C28:C39)</f>
        <v>130590889.73999999</v>
      </c>
      <c r="D40" s="122">
        <f>SUM(D28:D39)</f>
        <v>284535262</v>
      </c>
      <c r="E40" s="120" t="s">
        <v>27</v>
      </c>
      <c r="F40" s="122">
        <f>SUM(F28:F39)</f>
        <v>157335354.30000001</v>
      </c>
      <c r="G40" s="122">
        <f>SUM(G28:G39)</f>
        <v>281819034</v>
      </c>
    </row>
    <row r="41" spans="2:10" ht="15" customHeight="1" x14ac:dyDescent="0.25">
      <c r="B41" s="38" t="s">
        <v>28</v>
      </c>
      <c r="C41" s="38"/>
      <c r="D41" s="39"/>
      <c r="E41" s="39"/>
      <c r="F41" s="39"/>
      <c r="G41" s="39"/>
    </row>
    <row r="42" spans="2:10" ht="15" customHeight="1" x14ac:dyDescent="0.25">
      <c r="B42" s="38" t="s">
        <v>29</v>
      </c>
      <c r="C42" s="39"/>
      <c r="D42" s="39"/>
      <c r="E42" s="39"/>
      <c r="F42" s="39"/>
      <c r="G42" s="39"/>
    </row>
    <row r="43" spans="2:10" ht="15" customHeight="1" x14ac:dyDescent="0.25">
      <c r="B43" s="146" t="s">
        <v>30</v>
      </c>
      <c r="C43" s="129"/>
      <c r="D43" s="129"/>
      <c r="E43" s="39"/>
      <c r="F43" s="129"/>
      <c r="G43" s="129"/>
    </row>
    <row r="44" spans="2:10" ht="15" customHeight="1" x14ac:dyDescent="0.25"/>
    <row r="45" spans="2:10" ht="15" customHeight="1" x14ac:dyDescent="0.25">
      <c r="B45" s="387" t="s">
        <v>31</v>
      </c>
      <c r="C45" s="388"/>
      <c r="D45" s="388"/>
      <c r="E45" s="388"/>
      <c r="F45" s="388"/>
      <c r="G45" s="388"/>
      <c r="H45" s="389"/>
    </row>
    <row r="46" spans="2:10" ht="15" customHeight="1" x14ac:dyDescent="0.25">
      <c r="B46" s="393" t="s">
        <v>32</v>
      </c>
      <c r="C46" s="394"/>
      <c r="D46" s="394"/>
      <c r="E46" s="395"/>
      <c r="F46" s="135" t="s">
        <v>33</v>
      </c>
      <c r="G46" s="135" t="s">
        <v>34</v>
      </c>
      <c r="H46" s="135" t="s">
        <v>35</v>
      </c>
    </row>
    <row r="47" spans="2:10" ht="15" customHeight="1" x14ac:dyDescent="0.25">
      <c r="B47" s="396" t="s">
        <v>36</v>
      </c>
      <c r="C47" s="397"/>
      <c r="D47" s="397"/>
      <c r="E47" s="398"/>
      <c r="F47" s="139">
        <f>F40</f>
        <v>157335354.30000001</v>
      </c>
      <c r="G47" s="140">
        <f>G40</f>
        <v>281819034</v>
      </c>
      <c r="H47" s="176">
        <f>F47/G47</f>
        <v>0.55828505288255303</v>
      </c>
    </row>
    <row r="48" spans="2:10" ht="15" customHeight="1" x14ac:dyDescent="0.25">
      <c r="B48" s="396" t="s">
        <v>37</v>
      </c>
      <c r="C48" s="397"/>
      <c r="D48" s="397"/>
      <c r="E48" s="398"/>
      <c r="F48" s="139">
        <f>C40</f>
        <v>130590889.73999999</v>
      </c>
      <c r="G48" s="140">
        <f>D40</f>
        <v>284535262</v>
      </c>
      <c r="H48" s="176">
        <f>F48/G48</f>
        <v>0.45896205912081295</v>
      </c>
      <c r="J48" s="3"/>
    </row>
    <row r="49" spans="2:8" ht="15" customHeight="1" x14ac:dyDescent="0.25">
      <c r="B49" s="387" t="s">
        <v>38</v>
      </c>
      <c r="C49" s="388"/>
      <c r="D49" s="388"/>
      <c r="E49" s="388"/>
      <c r="F49" s="388"/>
      <c r="G49" s="389"/>
      <c r="H49" s="177">
        <f>H47/H48-1</f>
        <v>0.2164078528669735</v>
      </c>
    </row>
    <row r="50" spans="2:8" ht="15" customHeight="1" x14ac:dyDescent="0.25"/>
  </sheetData>
  <mergeCells count="22">
    <mergeCell ref="B8:G8"/>
    <mergeCell ref="B18:D18"/>
    <mergeCell ref="B19:D19"/>
    <mergeCell ref="B20:D20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49:G49"/>
    <mergeCell ref="B17:D17"/>
    <mergeCell ref="B45:H45"/>
    <mergeCell ref="B46:E46"/>
    <mergeCell ref="B47:E47"/>
    <mergeCell ref="B48:E48"/>
    <mergeCell ref="B26:G26"/>
    <mergeCell ref="B23:D23"/>
    <mergeCell ref="B22:D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EA53D-8634-4797-A728-80910E1DCE4C}">
  <sheetPr codeName="Planilha8">
    <tabColor theme="3" tint="0.79998168889431442"/>
  </sheetPr>
  <dimension ref="A1:AB35"/>
  <sheetViews>
    <sheetView showGridLines="0" showRowColHeaders="0" zoomScaleNormal="100" workbookViewId="0"/>
  </sheetViews>
  <sheetFormatPr defaultColWidth="0" defaultRowHeight="15" customHeight="1" zeroHeight="1" x14ac:dyDescent="0.25"/>
  <cols>
    <col min="1" max="12" width="9.140625" customWidth="1"/>
    <col min="13" max="13" width="17.85546875" customWidth="1"/>
    <col min="14" max="23" width="9.140625" customWidth="1"/>
    <col min="24" max="24" width="3.7109375" customWidth="1"/>
    <col min="25" max="25" width="9.140625" customWidth="1"/>
    <col min="26" max="26" width="5.28515625" customWidth="1"/>
    <col min="27" max="27" width="14.140625" customWidth="1"/>
    <col min="28" max="28" width="7.140625" customWidth="1"/>
    <col min="29" max="16384" width="9.140625" hidden="1"/>
  </cols>
  <sheetData>
    <row r="1" spans="6:22" s="26" customFormat="1" ht="3" customHeight="1" x14ac:dyDescent="0.25"/>
    <row r="2" spans="6:22" s="26" customFormat="1" x14ac:dyDescent="0.25"/>
    <row r="3" spans="6:22" s="108" customFormat="1" x14ac:dyDescent="0.25"/>
    <row r="4" spans="6:22" s="108" customFormat="1" x14ac:dyDescent="0.25"/>
    <row r="5" spans="6:22" s="108" customFormat="1" ht="20.100000000000001" customHeight="1" x14ac:dyDescent="0.25"/>
    <row r="6" spans="6:22" x14ac:dyDescent="0.25"/>
    <row r="7" spans="6:22" x14ac:dyDescent="0.25"/>
    <row r="8" spans="6:22" x14ac:dyDescent="0.25"/>
    <row r="9" spans="6:22" x14ac:dyDescent="0.25"/>
    <row r="10" spans="6:22" x14ac:dyDescent="0.25"/>
    <row r="11" spans="6:22" x14ac:dyDescent="0.25"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</row>
    <row r="12" spans="6:22" x14ac:dyDescent="0.25"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10"/>
      <c r="R12" s="110"/>
      <c r="S12" s="110"/>
      <c r="T12" s="110"/>
      <c r="U12" s="110"/>
      <c r="V12" s="110"/>
    </row>
    <row r="13" spans="6:22" x14ac:dyDescent="0.25"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10"/>
      <c r="R13" s="110"/>
      <c r="S13" s="110"/>
      <c r="T13" s="110"/>
      <c r="U13" s="110"/>
      <c r="V13" s="110"/>
    </row>
    <row r="14" spans="6:22" x14ac:dyDescent="0.25"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10"/>
      <c r="R14" s="110"/>
      <c r="S14" s="110"/>
      <c r="T14" s="110"/>
      <c r="U14" s="110"/>
      <c r="V14" s="110"/>
    </row>
    <row r="15" spans="6:22" x14ac:dyDescent="0.25"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  <c r="R15" s="110"/>
      <c r="S15" s="110"/>
      <c r="T15" s="110"/>
      <c r="U15" s="110"/>
      <c r="V15" s="110"/>
    </row>
    <row r="16" spans="6:22" x14ac:dyDescent="0.25"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10"/>
      <c r="S16" s="110"/>
      <c r="T16" s="110"/>
      <c r="U16" s="110"/>
      <c r="V16" s="110"/>
    </row>
    <row r="17" spans="6:22" x14ac:dyDescent="0.25"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10"/>
      <c r="R17" s="110"/>
      <c r="S17" s="110"/>
      <c r="T17" s="110"/>
      <c r="U17" s="110"/>
      <c r="V17" s="110"/>
    </row>
    <row r="18" spans="6:22" x14ac:dyDescent="0.25"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10"/>
      <c r="S18" s="110"/>
      <c r="T18" s="110"/>
      <c r="U18" s="110"/>
      <c r="V18" s="110"/>
    </row>
    <row r="19" spans="6:22" x14ac:dyDescent="0.25"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10"/>
      <c r="R19" s="110"/>
      <c r="S19" s="110"/>
      <c r="T19" s="110"/>
      <c r="U19" s="110"/>
      <c r="V19" s="110"/>
    </row>
    <row r="20" spans="6:22" x14ac:dyDescent="0.25"/>
    <row r="21" spans="6:22" x14ac:dyDescent="0.25"/>
    <row r="22" spans="6:22" x14ac:dyDescent="0.25"/>
    <row r="23" spans="6:22" x14ac:dyDescent="0.25"/>
    <row r="24" spans="6:22" x14ac:dyDescent="0.25"/>
    <row r="25" spans="6:22" x14ac:dyDescent="0.25"/>
    <row r="26" spans="6:22" x14ac:dyDescent="0.25"/>
    <row r="27" spans="6:22" x14ac:dyDescent="0.25"/>
    <row r="28" spans="6:22" x14ac:dyDescent="0.25"/>
    <row r="29" spans="6:22" x14ac:dyDescent="0.25"/>
    <row r="30" spans="6:22" x14ac:dyDescent="0.25"/>
    <row r="31" spans="6:22" x14ac:dyDescent="0.25"/>
    <row r="32" spans="6:22" x14ac:dyDescent="0.25"/>
    <row r="33" x14ac:dyDescent="0.25"/>
    <row r="34" x14ac:dyDescent="0.25"/>
    <row r="35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AB94-AA01-43CA-80B5-B94BA051B95A}">
  <sheetPr codeName="Planilha9">
    <tabColor theme="3" tint="0.59999389629810485"/>
  </sheetPr>
  <dimension ref="A1:W69"/>
  <sheetViews>
    <sheetView showGridLines="0" showRowColHeaders="0" zoomScaleNormal="100" workbookViewId="0"/>
  </sheetViews>
  <sheetFormatPr defaultColWidth="0" defaultRowHeight="16.5" customHeight="1" zeroHeight="1" x14ac:dyDescent="0.25"/>
  <cols>
    <col min="1" max="1" width="3.7109375" customWidth="1"/>
    <col min="2" max="2" width="23.7109375" customWidth="1"/>
    <col min="3" max="3" width="14.140625" customWidth="1"/>
    <col min="4" max="4" width="22.7109375" customWidth="1"/>
    <col min="5" max="5" width="16.140625" customWidth="1"/>
    <col min="6" max="6" width="17" bestFit="1" customWidth="1"/>
    <col min="7" max="7" width="4.7109375" customWidth="1"/>
    <col min="8" max="8" width="20" bestFit="1" customWidth="1"/>
    <col min="9" max="9" width="20.42578125" bestFit="1" customWidth="1"/>
    <col min="10" max="10" width="10.85546875" customWidth="1"/>
    <col min="11" max="12" width="20" bestFit="1" customWidth="1"/>
    <col min="13" max="13" width="13" customWidth="1"/>
    <col min="14" max="14" width="13.28515625" bestFit="1" customWidth="1"/>
    <col min="15" max="15" width="3" customWidth="1"/>
    <col min="16" max="16" width="2.42578125" customWidth="1"/>
    <col min="17" max="17" width="12.140625" customWidth="1"/>
    <col min="18" max="18" width="14.140625" customWidth="1"/>
    <col min="19" max="19" width="7" customWidth="1"/>
    <col min="20" max="16384" width="9.140625" hidden="1"/>
  </cols>
  <sheetData>
    <row r="1" spans="1:21" s="26" customFormat="1" ht="3" customHeight="1" x14ac:dyDescent="0.25"/>
    <row r="2" spans="1:21" s="26" customFormat="1" ht="15" x14ac:dyDescent="0.25"/>
    <row r="3" spans="1:21" s="108" customFormat="1" ht="15" customHeight="1" x14ac:dyDescent="0.25"/>
    <row r="4" spans="1:21" s="108" customFormat="1" ht="15" x14ac:dyDescent="0.25"/>
    <row r="5" spans="1:21" s="108" customFormat="1" ht="20.100000000000001" customHeight="1" x14ac:dyDescent="0.25"/>
    <row r="6" spans="1:21" ht="15" x14ac:dyDescent="0.25"/>
    <row r="7" spans="1:21" ht="18.75" x14ac:dyDescent="0.25">
      <c r="C7" s="184" t="s">
        <v>39</v>
      </c>
      <c r="G7" s="184"/>
    </row>
    <row r="8" spans="1:21" ht="1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1" ht="15.75" x14ac:dyDescent="0.25">
      <c r="B9" s="399" t="s">
        <v>40</v>
      </c>
      <c r="C9" s="399"/>
      <c r="D9" s="399"/>
      <c r="E9" s="399"/>
      <c r="F9" s="399"/>
      <c r="G9" s="26"/>
      <c r="H9" s="404" t="s">
        <v>41</v>
      </c>
      <c r="I9" s="405"/>
      <c r="J9" s="405"/>
      <c r="K9" s="405"/>
      <c r="L9" s="405"/>
      <c r="M9" s="405"/>
      <c r="N9" s="406"/>
      <c r="O9" s="26"/>
    </row>
    <row r="10" spans="1:21" ht="15.75" x14ac:dyDescent="0.25">
      <c r="B10" s="120" t="s">
        <v>42</v>
      </c>
      <c r="C10" s="120" t="s">
        <v>43</v>
      </c>
      <c r="D10" s="120" t="s">
        <v>44</v>
      </c>
      <c r="E10" s="120" t="s">
        <v>43</v>
      </c>
      <c r="F10" s="120" t="s">
        <v>45</v>
      </c>
      <c r="G10" s="26"/>
      <c r="H10" s="407"/>
      <c r="I10" s="408"/>
      <c r="J10" s="408"/>
      <c r="K10" s="145" t="s">
        <v>46</v>
      </c>
      <c r="L10" s="145" t="s">
        <v>47</v>
      </c>
      <c r="M10" s="145" t="s">
        <v>48</v>
      </c>
      <c r="N10" s="145" t="s">
        <v>49</v>
      </c>
      <c r="O10" s="26"/>
    </row>
    <row r="11" spans="1:21" ht="15.75" x14ac:dyDescent="0.25">
      <c r="B11" s="351">
        <v>43831</v>
      </c>
      <c r="C11" s="170">
        <v>3877234</v>
      </c>
      <c r="D11" s="351">
        <v>44197</v>
      </c>
      <c r="E11" s="170">
        <v>2770819</v>
      </c>
      <c r="F11" s="183">
        <f t="shared" ref="F11:F22" si="0">IF(C11-E11&lt;=0,"",C11-E11)</f>
        <v>1106415</v>
      </c>
      <c r="G11" s="26"/>
      <c r="H11" s="402" t="s">
        <v>50</v>
      </c>
      <c r="I11" s="403"/>
      <c r="J11" s="403"/>
      <c r="K11" s="170">
        <f>SUM(F11:F22)</f>
        <v>15747196</v>
      </c>
      <c r="L11" s="170">
        <f>SUM(F26:F37)</f>
        <v>306835</v>
      </c>
      <c r="M11" s="170">
        <f>SUM(F41:F52)</f>
        <v>1615272</v>
      </c>
      <c r="N11" s="170">
        <f>SUM(F56:F67)</f>
        <v>58602</v>
      </c>
      <c r="O11" s="179"/>
    </row>
    <row r="12" spans="1:21" ht="15.75" x14ac:dyDescent="0.25">
      <c r="B12" s="291">
        <f>+B11+31</f>
        <v>43862</v>
      </c>
      <c r="C12" s="170">
        <v>4166702</v>
      </c>
      <c r="D12" s="351">
        <f>+D11+31</f>
        <v>44228</v>
      </c>
      <c r="E12" s="170">
        <v>3022414</v>
      </c>
      <c r="F12" s="183">
        <f t="shared" si="0"/>
        <v>1144288</v>
      </c>
      <c r="G12" s="26"/>
      <c r="H12" s="402" t="s">
        <v>51</v>
      </c>
      <c r="I12" s="403"/>
      <c r="J12" s="403"/>
      <c r="K12" s="171">
        <v>0.2</v>
      </c>
      <c r="L12" s="171">
        <v>0.2</v>
      </c>
      <c r="M12" s="171">
        <v>0.2</v>
      </c>
      <c r="N12" s="171">
        <v>0.2</v>
      </c>
      <c r="O12" s="180"/>
    </row>
    <row r="13" spans="1:21" ht="15.75" x14ac:dyDescent="0.25">
      <c r="B13" s="291">
        <f t="shared" ref="B13:B22" si="1">+B12+31</f>
        <v>43893</v>
      </c>
      <c r="C13" s="170">
        <v>3902019</v>
      </c>
      <c r="D13" s="351">
        <f t="shared" ref="D13:D22" si="2">+D12+31</f>
        <v>44259</v>
      </c>
      <c r="E13" s="170">
        <v>2820464</v>
      </c>
      <c r="F13" s="183">
        <f t="shared" si="0"/>
        <v>1081555</v>
      </c>
      <c r="G13" s="26"/>
      <c r="H13" s="402" t="s">
        <v>52</v>
      </c>
      <c r="I13" s="403"/>
      <c r="J13" s="403"/>
      <c r="K13" s="170">
        <f>K11*K12</f>
        <v>3149439.2</v>
      </c>
      <c r="L13" s="170">
        <f t="shared" ref="L13:N13" si="3">L11*L12</f>
        <v>61367</v>
      </c>
      <c r="M13" s="170">
        <f t="shared" si="3"/>
        <v>323054.40000000002</v>
      </c>
      <c r="N13" s="170">
        <f t="shared" si="3"/>
        <v>11720.400000000001</v>
      </c>
      <c r="O13" s="179"/>
    </row>
    <row r="14" spans="1:21" ht="15.75" x14ac:dyDescent="0.25">
      <c r="B14" s="291">
        <f t="shared" si="1"/>
        <v>43924</v>
      </c>
      <c r="C14" s="170">
        <v>5879106</v>
      </c>
      <c r="D14" s="351">
        <f t="shared" si="2"/>
        <v>44290</v>
      </c>
      <c r="E14" s="170">
        <v>4354070</v>
      </c>
      <c r="F14" s="183">
        <f t="shared" si="0"/>
        <v>1525036</v>
      </c>
      <c r="G14" s="26"/>
      <c r="H14" s="402" t="s">
        <v>53</v>
      </c>
      <c r="I14" s="403"/>
      <c r="J14" s="403"/>
      <c r="K14" s="172">
        <v>2.98</v>
      </c>
      <c r="L14" s="172">
        <v>1.49</v>
      </c>
      <c r="M14" s="172">
        <v>6.26</v>
      </c>
      <c r="N14" s="172">
        <v>6.26</v>
      </c>
      <c r="O14" s="181"/>
      <c r="P14" s="26"/>
      <c r="Q14" s="26"/>
      <c r="R14" s="26"/>
      <c r="S14" s="26"/>
      <c r="T14" s="26"/>
      <c r="U14" s="26"/>
    </row>
    <row r="15" spans="1:21" ht="15.75" x14ac:dyDescent="0.25">
      <c r="B15" s="291">
        <f t="shared" si="1"/>
        <v>43955</v>
      </c>
      <c r="C15" s="170">
        <v>4606586</v>
      </c>
      <c r="D15" s="351">
        <f t="shared" si="2"/>
        <v>44321</v>
      </c>
      <c r="E15" s="170">
        <v>3414842</v>
      </c>
      <c r="F15" s="183">
        <f t="shared" si="0"/>
        <v>1191744</v>
      </c>
      <c r="G15" s="26"/>
      <c r="H15" s="402" t="s">
        <v>54</v>
      </c>
      <c r="I15" s="403"/>
      <c r="J15" s="403"/>
      <c r="K15" s="173">
        <f>K13*K14</f>
        <v>9385328.8159999996</v>
      </c>
      <c r="L15" s="173">
        <f>L13*L14</f>
        <v>91436.83</v>
      </c>
      <c r="M15" s="173">
        <f>M13*M14</f>
        <v>2022320.544</v>
      </c>
      <c r="N15" s="173">
        <f>N13*N14</f>
        <v>73369.704000000012</v>
      </c>
      <c r="O15" s="182"/>
      <c r="P15" s="26"/>
      <c r="Q15" s="26"/>
      <c r="R15" s="26"/>
      <c r="S15" s="26"/>
      <c r="T15" s="26"/>
    </row>
    <row r="16" spans="1:21" ht="15.75" x14ac:dyDescent="0.25">
      <c r="B16" s="291">
        <f t="shared" si="1"/>
        <v>43986</v>
      </c>
      <c r="C16" s="170">
        <v>4426106</v>
      </c>
      <c r="D16" s="351">
        <f t="shared" si="2"/>
        <v>44352</v>
      </c>
      <c r="E16" s="170">
        <v>3292928</v>
      </c>
      <c r="F16" s="183">
        <f t="shared" si="0"/>
        <v>1133178</v>
      </c>
      <c r="G16" s="26"/>
      <c r="H16" s="400" t="s">
        <v>55</v>
      </c>
      <c r="I16" s="401"/>
      <c r="J16" s="401"/>
      <c r="K16" s="174">
        <f>SUM(K15:N15)</f>
        <v>11572455.893999999</v>
      </c>
      <c r="L16" s="26"/>
      <c r="M16" s="26"/>
      <c r="N16" s="26"/>
      <c r="O16" s="26"/>
      <c r="P16" s="26"/>
      <c r="Q16" s="26"/>
      <c r="R16" s="26"/>
      <c r="S16" s="26"/>
      <c r="T16" s="26"/>
    </row>
    <row r="17" spans="1:23" ht="15" x14ac:dyDescent="0.25">
      <c r="B17" s="291">
        <f t="shared" si="1"/>
        <v>44017</v>
      </c>
      <c r="C17" s="170">
        <v>5517186</v>
      </c>
      <c r="D17" s="351">
        <f t="shared" si="2"/>
        <v>44383</v>
      </c>
      <c r="E17" s="170">
        <v>4101034</v>
      </c>
      <c r="F17" s="183">
        <f t="shared" si="0"/>
        <v>1416152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3" ht="15" x14ac:dyDescent="0.25">
      <c r="B18" s="291">
        <f t="shared" si="1"/>
        <v>44048</v>
      </c>
      <c r="C18" s="170">
        <v>6409702</v>
      </c>
      <c r="D18" s="351">
        <f t="shared" si="2"/>
        <v>44414</v>
      </c>
      <c r="E18" s="170">
        <v>4703994</v>
      </c>
      <c r="F18" s="183">
        <f t="shared" si="0"/>
        <v>1705708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3" ht="15" x14ac:dyDescent="0.25">
      <c r="B19" s="291">
        <f t="shared" si="1"/>
        <v>44079</v>
      </c>
      <c r="C19" s="170">
        <v>4517260</v>
      </c>
      <c r="D19" s="351">
        <f t="shared" si="2"/>
        <v>44445</v>
      </c>
      <c r="E19" s="170">
        <v>3375331</v>
      </c>
      <c r="F19" s="183">
        <f t="shared" si="0"/>
        <v>1141929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3" ht="18" x14ac:dyDescent="0.25">
      <c r="B20" s="291">
        <f t="shared" si="1"/>
        <v>44110</v>
      </c>
      <c r="C20" s="170">
        <v>6120796</v>
      </c>
      <c r="D20" s="351">
        <f t="shared" si="2"/>
        <v>44476</v>
      </c>
      <c r="E20" s="170">
        <v>4523953</v>
      </c>
      <c r="F20" s="183">
        <f t="shared" si="0"/>
        <v>1596843</v>
      </c>
      <c r="G20" s="26"/>
      <c r="H20" s="409" t="s">
        <v>56</v>
      </c>
      <c r="I20" s="410"/>
      <c r="J20" s="411"/>
      <c r="K20" s="293" t="s">
        <v>57</v>
      </c>
      <c r="L20" s="377">
        <f>K16</f>
        <v>11572455.893999999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3" ht="15" x14ac:dyDescent="0.25">
      <c r="B21" s="291">
        <f t="shared" si="1"/>
        <v>44141</v>
      </c>
      <c r="C21" s="170">
        <v>4827461</v>
      </c>
      <c r="D21" s="351">
        <f t="shared" si="2"/>
        <v>44507</v>
      </c>
      <c r="E21" s="170">
        <v>3592115</v>
      </c>
      <c r="F21" s="183">
        <f t="shared" si="0"/>
        <v>1235346</v>
      </c>
      <c r="G21" s="26"/>
      <c r="H21" s="412" t="s">
        <v>58</v>
      </c>
      <c r="I21" s="413"/>
      <c r="J21" s="414"/>
      <c r="K21" s="291" t="s">
        <v>59</v>
      </c>
      <c r="L21" s="372">
        <f>Volume_2021!P129</f>
        <v>290126828.61000001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ht="15" customHeight="1" x14ac:dyDescent="0.35">
      <c r="B22" s="291">
        <f t="shared" si="1"/>
        <v>44172</v>
      </c>
      <c r="C22" s="170">
        <v>5592128</v>
      </c>
      <c r="D22" s="351">
        <f t="shared" si="2"/>
        <v>44538</v>
      </c>
      <c r="E22" s="170">
        <v>4123126</v>
      </c>
      <c r="F22" s="183">
        <f t="shared" si="0"/>
        <v>1469002</v>
      </c>
      <c r="G22" s="26"/>
      <c r="H22" s="415" t="s">
        <v>60</v>
      </c>
      <c r="I22" s="416"/>
      <c r="J22" s="417"/>
      <c r="K22" s="366" t="s">
        <v>61</v>
      </c>
      <c r="L22" s="373">
        <f>L20/L21</f>
        <v>3.9887575890322623E-2</v>
      </c>
      <c r="M22" s="26"/>
      <c r="N22" s="26"/>
      <c r="O22" s="26"/>
      <c r="P22" s="26"/>
      <c r="Q22" s="26"/>
    </row>
    <row r="23" spans="1:23" ht="15" customHeight="1" x14ac:dyDescent="0.25">
      <c r="A23" s="26"/>
      <c r="B23" s="26"/>
      <c r="C23" s="26"/>
      <c r="D23" s="26"/>
      <c r="E23" s="26"/>
      <c r="F23" s="26"/>
      <c r="G23" s="26"/>
      <c r="H23" s="184"/>
      <c r="I23" s="26"/>
      <c r="J23" s="26"/>
      <c r="K23" s="26"/>
      <c r="L23" s="26"/>
      <c r="M23" s="26"/>
      <c r="N23" s="26"/>
      <c r="O23" s="26"/>
      <c r="P23" s="26"/>
    </row>
    <row r="24" spans="1:23" ht="15.75" x14ac:dyDescent="0.25">
      <c r="A24" s="26"/>
      <c r="B24" s="399" t="s">
        <v>62</v>
      </c>
      <c r="C24" s="399"/>
      <c r="D24" s="399"/>
      <c r="E24" s="399"/>
      <c r="F24" s="399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23" ht="15" x14ac:dyDescent="0.25">
      <c r="A25" s="26"/>
      <c r="B25" s="120" t="s">
        <v>42</v>
      </c>
      <c r="C25" s="120" t="s">
        <v>43</v>
      </c>
      <c r="D25" s="120" t="s">
        <v>44</v>
      </c>
      <c r="E25" s="120" t="s">
        <v>43</v>
      </c>
      <c r="F25" s="120" t="s">
        <v>45</v>
      </c>
      <c r="G25" s="26"/>
      <c r="H25" s="26"/>
    </row>
    <row r="26" spans="1:23" ht="15.75" customHeight="1" x14ac:dyDescent="0.25">
      <c r="A26" s="26"/>
      <c r="B26" s="291">
        <f>+B11</f>
        <v>43831</v>
      </c>
      <c r="C26" s="352">
        <v>65521</v>
      </c>
      <c r="D26" s="351">
        <f>+D11</f>
        <v>44197</v>
      </c>
      <c r="E26" s="352">
        <v>44431</v>
      </c>
      <c r="F26" s="353">
        <f t="shared" ref="F26:F37" si="4">IF(C26-E26&lt;=0,"",C26-E26)</f>
        <v>21090</v>
      </c>
      <c r="G26" s="26"/>
      <c r="H26" s="26"/>
    </row>
    <row r="27" spans="1:23" ht="15.75" customHeight="1" x14ac:dyDescent="0.25">
      <c r="A27" s="26"/>
      <c r="B27" s="291">
        <f t="shared" ref="B27:B37" si="5">+B12</f>
        <v>43862</v>
      </c>
      <c r="C27" s="352">
        <v>68729</v>
      </c>
      <c r="D27" s="351">
        <f t="shared" ref="D27:D37" si="6">+D12</f>
        <v>44228</v>
      </c>
      <c r="E27" s="352">
        <v>45529</v>
      </c>
      <c r="F27" s="353">
        <f t="shared" si="4"/>
        <v>23200</v>
      </c>
      <c r="G27" s="26"/>
      <c r="H27" s="26"/>
    </row>
    <row r="28" spans="1:23" ht="15.75" customHeight="1" x14ac:dyDescent="0.25">
      <c r="A28" s="26"/>
      <c r="B28" s="291">
        <f t="shared" si="5"/>
        <v>43893</v>
      </c>
      <c r="C28" s="352">
        <v>68898</v>
      </c>
      <c r="D28" s="351">
        <f t="shared" si="6"/>
        <v>44259</v>
      </c>
      <c r="E28" s="352">
        <v>46887</v>
      </c>
      <c r="F28" s="353">
        <f t="shared" si="4"/>
        <v>22011</v>
      </c>
      <c r="G28" s="26"/>
      <c r="H28" s="26"/>
    </row>
    <row r="29" spans="1:23" ht="15.75" customHeight="1" x14ac:dyDescent="0.25">
      <c r="A29" s="26"/>
      <c r="B29" s="291">
        <f t="shared" si="5"/>
        <v>43924</v>
      </c>
      <c r="C29" s="352">
        <v>91343</v>
      </c>
      <c r="D29" s="351">
        <f t="shared" si="6"/>
        <v>44290</v>
      </c>
      <c r="E29" s="352">
        <v>62703</v>
      </c>
      <c r="F29" s="353">
        <f t="shared" si="4"/>
        <v>28640</v>
      </c>
      <c r="G29" s="26"/>
      <c r="H29" s="26"/>
    </row>
    <row r="30" spans="1:23" ht="15.75" customHeight="1" x14ac:dyDescent="0.25">
      <c r="A30" s="26"/>
      <c r="B30" s="291">
        <f t="shared" si="5"/>
        <v>43955</v>
      </c>
      <c r="C30" s="352">
        <v>75682</v>
      </c>
      <c r="D30" s="351">
        <f t="shared" si="6"/>
        <v>44321</v>
      </c>
      <c r="E30" s="352">
        <v>52578</v>
      </c>
      <c r="F30" s="353">
        <f t="shared" si="4"/>
        <v>23104</v>
      </c>
      <c r="G30" s="26"/>
      <c r="H30" s="26"/>
    </row>
    <row r="31" spans="1:23" ht="15.75" customHeight="1" x14ac:dyDescent="0.25">
      <c r="A31" s="26"/>
      <c r="B31" s="291">
        <f t="shared" si="5"/>
        <v>43986</v>
      </c>
      <c r="C31" s="352">
        <v>68461</v>
      </c>
      <c r="D31" s="351">
        <f t="shared" si="6"/>
        <v>44352</v>
      </c>
      <c r="E31" s="352">
        <v>47340</v>
      </c>
      <c r="F31" s="353">
        <f t="shared" si="4"/>
        <v>21121</v>
      </c>
      <c r="G31" s="26"/>
      <c r="H31" s="26"/>
    </row>
    <row r="32" spans="1:23" ht="15.75" customHeight="1" x14ac:dyDescent="0.25">
      <c r="A32" s="26"/>
      <c r="B32" s="291">
        <f t="shared" si="5"/>
        <v>44017</v>
      </c>
      <c r="C32" s="352">
        <v>85423</v>
      </c>
      <c r="D32" s="351">
        <f t="shared" si="6"/>
        <v>44383</v>
      </c>
      <c r="E32" s="352">
        <v>59341</v>
      </c>
      <c r="F32" s="353">
        <f t="shared" si="4"/>
        <v>26082</v>
      </c>
      <c r="G32" s="26"/>
      <c r="H32" s="26"/>
    </row>
    <row r="33" spans="1:8" ht="15.75" customHeight="1" x14ac:dyDescent="0.25">
      <c r="A33" s="26"/>
      <c r="B33" s="291">
        <f t="shared" si="5"/>
        <v>44048</v>
      </c>
      <c r="C33" s="352">
        <v>99697</v>
      </c>
      <c r="D33" s="351">
        <f t="shared" si="6"/>
        <v>44414</v>
      </c>
      <c r="E33" s="352">
        <v>68565</v>
      </c>
      <c r="F33" s="353">
        <f t="shared" si="4"/>
        <v>31132</v>
      </c>
      <c r="G33" s="26"/>
      <c r="H33" s="26"/>
    </row>
    <row r="34" spans="1:8" ht="15.75" customHeight="1" x14ac:dyDescent="0.25">
      <c r="A34" s="26"/>
      <c r="B34" s="291">
        <f t="shared" si="5"/>
        <v>44079</v>
      </c>
      <c r="C34" s="352">
        <v>80061</v>
      </c>
      <c r="D34" s="351">
        <f t="shared" si="6"/>
        <v>44445</v>
      </c>
      <c r="E34" s="352">
        <v>57004</v>
      </c>
      <c r="F34" s="353">
        <f t="shared" si="4"/>
        <v>23057</v>
      </c>
      <c r="G34" s="26"/>
      <c r="H34" s="26"/>
    </row>
    <row r="35" spans="1:8" ht="15.75" customHeight="1" x14ac:dyDescent="0.25">
      <c r="B35" s="291">
        <f t="shared" si="5"/>
        <v>44110</v>
      </c>
      <c r="C35" s="352">
        <v>107982</v>
      </c>
      <c r="D35" s="351">
        <f t="shared" si="6"/>
        <v>44476</v>
      </c>
      <c r="E35" s="352">
        <v>75414</v>
      </c>
      <c r="F35" s="353">
        <f t="shared" si="4"/>
        <v>32568</v>
      </c>
      <c r="G35" s="26"/>
      <c r="H35" s="26"/>
    </row>
    <row r="36" spans="1:8" ht="15.75" customHeight="1" x14ac:dyDescent="0.25">
      <c r="B36" s="291">
        <f t="shared" si="5"/>
        <v>44141</v>
      </c>
      <c r="C36" s="352">
        <v>80143</v>
      </c>
      <c r="D36" s="351">
        <f t="shared" si="6"/>
        <v>44507</v>
      </c>
      <c r="E36" s="352">
        <v>55332</v>
      </c>
      <c r="F36" s="353">
        <f t="shared" si="4"/>
        <v>24811</v>
      </c>
      <c r="G36" s="26"/>
      <c r="H36" s="26"/>
    </row>
    <row r="37" spans="1:8" ht="15.75" customHeight="1" x14ac:dyDescent="0.25">
      <c r="B37" s="291">
        <f t="shared" si="5"/>
        <v>44172</v>
      </c>
      <c r="C37" s="352">
        <v>98897</v>
      </c>
      <c r="D37" s="351">
        <f t="shared" si="6"/>
        <v>44538</v>
      </c>
      <c r="E37" s="352">
        <v>68878</v>
      </c>
      <c r="F37" s="353">
        <f t="shared" si="4"/>
        <v>30019</v>
      </c>
      <c r="G37" s="26"/>
      <c r="H37" s="26"/>
    </row>
    <row r="38" spans="1:8" ht="16.5" customHeight="1" x14ac:dyDescent="0.25">
      <c r="D38" s="26"/>
      <c r="E38" s="26"/>
      <c r="F38" s="26"/>
      <c r="G38" s="26"/>
      <c r="H38" s="26"/>
    </row>
    <row r="39" spans="1:8" ht="16.5" customHeight="1" x14ac:dyDescent="0.25">
      <c r="B39" s="399" t="s">
        <v>63</v>
      </c>
      <c r="C39" s="399"/>
      <c r="D39" s="399"/>
      <c r="E39" s="399"/>
      <c r="F39" s="399"/>
      <c r="G39" s="26"/>
      <c r="H39" s="26"/>
    </row>
    <row r="40" spans="1:8" ht="16.5" customHeight="1" x14ac:dyDescent="0.25">
      <c r="B40" s="120" t="s">
        <v>42</v>
      </c>
      <c r="C40" s="120" t="s">
        <v>43</v>
      </c>
      <c r="D40" s="120" t="s">
        <v>44</v>
      </c>
      <c r="E40" s="120" t="s">
        <v>43</v>
      </c>
      <c r="F40" s="120" t="s">
        <v>45</v>
      </c>
    </row>
    <row r="41" spans="1:8" ht="16.5" customHeight="1" x14ac:dyDescent="0.25">
      <c r="B41" s="291">
        <f>+B26</f>
        <v>43831</v>
      </c>
      <c r="C41" s="352">
        <v>535448</v>
      </c>
      <c r="D41" s="351">
        <f>+D26</f>
        <v>44197</v>
      </c>
      <c r="E41" s="352">
        <v>336534</v>
      </c>
      <c r="F41" s="353">
        <f t="shared" ref="F41:F52" si="7">IF(C41-E41&lt;=0,"",C41-E41)</f>
        <v>198914</v>
      </c>
      <c r="G41" s="28"/>
    </row>
    <row r="42" spans="1:8" ht="16.5" customHeight="1" x14ac:dyDescent="0.25">
      <c r="B42" s="291">
        <f t="shared" ref="B42:B52" si="8">+B27</f>
        <v>43862</v>
      </c>
      <c r="C42" s="352">
        <v>607706</v>
      </c>
      <c r="D42" s="351">
        <f t="shared" ref="D42:D52" si="9">+D27</f>
        <v>44228</v>
      </c>
      <c r="E42" s="352">
        <v>386891</v>
      </c>
      <c r="F42" s="353">
        <f t="shared" si="7"/>
        <v>220815</v>
      </c>
    </row>
    <row r="43" spans="1:8" ht="16.5" customHeight="1" x14ac:dyDescent="0.25">
      <c r="B43" s="291">
        <f t="shared" si="8"/>
        <v>43893</v>
      </c>
      <c r="C43" s="352">
        <v>591742</v>
      </c>
      <c r="D43" s="351">
        <f t="shared" si="9"/>
        <v>44259</v>
      </c>
      <c r="E43" s="352">
        <v>357951</v>
      </c>
      <c r="F43" s="353">
        <f t="shared" si="7"/>
        <v>233791</v>
      </c>
    </row>
    <row r="44" spans="1:8" ht="16.5" customHeight="1" x14ac:dyDescent="0.25">
      <c r="B44" s="291">
        <f t="shared" si="8"/>
        <v>43924</v>
      </c>
      <c r="C44" s="352">
        <v>280278</v>
      </c>
      <c r="D44" s="351">
        <f t="shared" si="9"/>
        <v>44290</v>
      </c>
      <c r="E44" s="352">
        <v>175583</v>
      </c>
      <c r="F44" s="353">
        <f t="shared" si="7"/>
        <v>104695</v>
      </c>
    </row>
    <row r="45" spans="1:8" ht="16.5" customHeight="1" x14ac:dyDescent="0.25">
      <c r="B45" s="291">
        <f t="shared" si="8"/>
        <v>43955</v>
      </c>
      <c r="C45" s="352">
        <v>194545</v>
      </c>
      <c r="D45" s="351">
        <f t="shared" si="9"/>
        <v>44321</v>
      </c>
      <c r="E45" s="352">
        <v>114227</v>
      </c>
      <c r="F45" s="353">
        <f t="shared" si="7"/>
        <v>80318</v>
      </c>
    </row>
    <row r="46" spans="1:8" ht="16.5" customHeight="1" x14ac:dyDescent="0.25">
      <c r="B46" s="291">
        <f t="shared" si="8"/>
        <v>43986</v>
      </c>
      <c r="C46" s="352">
        <v>219713</v>
      </c>
      <c r="D46" s="351">
        <f t="shared" si="9"/>
        <v>44352</v>
      </c>
      <c r="E46" s="352">
        <v>140592</v>
      </c>
      <c r="F46" s="353">
        <f t="shared" si="7"/>
        <v>79121</v>
      </c>
    </row>
    <row r="47" spans="1:8" ht="16.5" customHeight="1" x14ac:dyDescent="0.25">
      <c r="B47" s="291">
        <f t="shared" si="8"/>
        <v>44017</v>
      </c>
      <c r="C47" s="352">
        <v>253788</v>
      </c>
      <c r="D47" s="351">
        <f t="shared" si="9"/>
        <v>44383</v>
      </c>
      <c r="E47" s="352">
        <v>162422</v>
      </c>
      <c r="F47" s="353">
        <f t="shared" si="7"/>
        <v>91366</v>
      </c>
    </row>
    <row r="48" spans="1:8" ht="16.5" customHeight="1" x14ac:dyDescent="0.25">
      <c r="B48" s="291">
        <f t="shared" si="8"/>
        <v>44048</v>
      </c>
      <c r="C48" s="352">
        <v>377653</v>
      </c>
      <c r="D48" s="351">
        <f t="shared" si="9"/>
        <v>44414</v>
      </c>
      <c r="E48" s="352">
        <v>251324</v>
      </c>
      <c r="F48" s="353">
        <f t="shared" si="7"/>
        <v>126329</v>
      </c>
    </row>
    <row r="49" spans="2:6" ht="16.5" customHeight="1" x14ac:dyDescent="0.25">
      <c r="B49" s="291">
        <f t="shared" si="8"/>
        <v>44079</v>
      </c>
      <c r="C49" s="352">
        <v>283911</v>
      </c>
      <c r="D49" s="351">
        <f t="shared" si="9"/>
        <v>44445</v>
      </c>
      <c r="E49" s="352">
        <v>184604</v>
      </c>
      <c r="F49" s="353">
        <f t="shared" si="7"/>
        <v>99307</v>
      </c>
    </row>
    <row r="50" spans="2:6" ht="16.5" customHeight="1" x14ac:dyDescent="0.25">
      <c r="B50" s="291">
        <f t="shared" si="8"/>
        <v>44110</v>
      </c>
      <c r="C50" s="352">
        <v>378845</v>
      </c>
      <c r="D50" s="351">
        <f t="shared" si="9"/>
        <v>44476</v>
      </c>
      <c r="E50" s="352">
        <v>255598</v>
      </c>
      <c r="F50" s="353">
        <f t="shared" si="7"/>
        <v>123247</v>
      </c>
    </row>
    <row r="51" spans="2:6" ht="16.5" customHeight="1" x14ac:dyDescent="0.25">
      <c r="B51" s="291">
        <f t="shared" si="8"/>
        <v>44141</v>
      </c>
      <c r="C51" s="352">
        <v>366955</v>
      </c>
      <c r="D51" s="351">
        <f t="shared" si="9"/>
        <v>44507</v>
      </c>
      <c r="E51" s="352">
        <v>245930</v>
      </c>
      <c r="F51" s="353">
        <f t="shared" si="7"/>
        <v>121025</v>
      </c>
    </row>
    <row r="52" spans="2:6" ht="16.5" customHeight="1" x14ac:dyDescent="0.25">
      <c r="B52" s="291">
        <f t="shared" si="8"/>
        <v>44172</v>
      </c>
      <c r="C52" s="352">
        <v>435929</v>
      </c>
      <c r="D52" s="351">
        <f t="shared" si="9"/>
        <v>44538</v>
      </c>
      <c r="E52" s="352">
        <v>299585</v>
      </c>
      <c r="F52" s="353">
        <f t="shared" si="7"/>
        <v>136344</v>
      </c>
    </row>
    <row r="53" spans="2:6" ht="16.5" customHeight="1" x14ac:dyDescent="0.25"/>
    <row r="54" spans="2:6" ht="16.5" customHeight="1" x14ac:dyDescent="0.25">
      <c r="B54" s="399" t="s">
        <v>64</v>
      </c>
      <c r="C54" s="399"/>
      <c r="D54" s="399"/>
      <c r="E54" s="399"/>
      <c r="F54" s="399"/>
    </row>
    <row r="55" spans="2:6" ht="16.5" customHeight="1" x14ac:dyDescent="0.25">
      <c r="B55" s="120" t="s">
        <v>42</v>
      </c>
      <c r="C55" s="120" t="s">
        <v>43</v>
      </c>
      <c r="D55" s="120" t="s">
        <v>44</v>
      </c>
      <c r="E55" s="120" t="s">
        <v>43</v>
      </c>
      <c r="F55" s="120" t="s">
        <v>45</v>
      </c>
    </row>
    <row r="56" spans="2:6" ht="16.5" customHeight="1" x14ac:dyDescent="0.25">
      <c r="B56" s="291">
        <f>+B41</f>
        <v>43831</v>
      </c>
      <c r="C56" s="352">
        <v>20941</v>
      </c>
      <c r="D56" s="351">
        <f>+D41</f>
        <v>44197</v>
      </c>
      <c r="E56" s="352">
        <v>9908</v>
      </c>
      <c r="F56" s="353">
        <f t="shared" ref="F56:F67" si="10">IF(C56-E56&lt;=0,"",C56-E56)</f>
        <v>11033</v>
      </c>
    </row>
    <row r="57" spans="2:6" ht="16.5" customHeight="1" x14ac:dyDescent="0.25">
      <c r="B57" s="291">
        <f t="shared" ref="B57:B67" si="11">+B42</f>
        <v>43862</v>
      </c>
      <c r="C57" s="352">
        <v>10857</v>
      </c>
      <c r="D57" s="351">
        <f t="shared" ref="D57:D67" si="12">+D42</f>
        <v>44228</v>
      </c>
      <c r="E57" s="352">
        <v>7382</v>
      </c>
      <c r="F57" s="353">
        <f t="shared" si="10"/>
        <v>3475</v>
      </c>
    </row>
    <row r="58" spans="2:6" ht="16.5" customHeight="1" x14ac:dyDescent="0.25">
      <c r="B58" s="291">
        <f t="shared" si="11"/>
        <v>43893</v>
      </c>
      <c r="C58" s="352">
        <v>14449</v>
      </c>
      <c r="D58" s="351">
        <f t="shared" si="12"/>
        <v>44259</v>
      </c>
      <c r="E58" s="352">
        <v>9451</v>
      </c>
      <c r="F58" s="353">
        <f t="shared" si="10"/>
        <v>4998</v>
      </c>
    </row>
    <row r="59" spans="2:6" ht="16.5" customHeight="1" x14ac:dyDescent="0.25">
      <c r="B59" s="291">
        <f t="shared" si="11"/>
        <v>43924</v>
      </c>
      <c r="C59" s="352">
        <v>12543</v>
      </c>
      <c r="D59" s="351">
        <f t="shared" si="12"/>
        <v>44290</v>
      </c>
      <c r="E59" s="352">
        <v>7633</v>
      </c>
      <c r="F59" s="353">
        <f t="shared" si="10"/>
        <v>4910</v>
      </c>
    </row>
    <row r="60" spans="2:6" ht="16.5" customHeight="1" x14ac:dyDescent="0.25">
      <c r="B60" s="291">
        <f t="shared" si="11"/>
        <v>43955</v>
      </c>
      <c r="C60" s="352">
        <v>6392</v>
      </c>
      <c r="D60" s="351">
        <f t="shared" si="12"/>
        <v>44321</v>
      </c>
      <c r="E60" s="352">
        <v>3549</v>
      </c>
      <c r="F60" s="353">
        <f t="shared" si="10"/>
        <v>2843</v>
      </c>
    </row>
    <row r="61" spans="2:6" ht="16.5" customHeight="1" x14ac:dyDescent="0.25">
      <c r="B61" s="291">
        <f t="shared" si="11"/>
        <v>43986</v>
      </c>
      <c r="C61" s="352">
        <v>7932</v>
      </c>
      <c r="D61" s="351">
        <f t="shared" si="12"/>
        <v>44352</v>
      </c>
      <c r="E61" s="352">
        <v>4782</v>
      </c>
      <c r="F61" s="353">
        <f t="shared" si="10"/>
        <v>3150</v>
      </c>
    </row>
    <row r="62" spans="2:6" ht="16.5" customHeight="1" x14ac:dyDescent="0.25">
      <c r="B62" s="291">
        <f t="shared" si="11"/>
        <v>44017</v>
      </c>
      <c r="C62" s="352">
        <v>7749</v>
      </c>
      <c r="D62" s="351">
        <f t="shared" si="12"/>
        <v>44383</v>
      </c>
      <c r="E62" s="352">
        <v>4468</v>
      </c>
      <c r="F62" s="353">
        <f t="shared" si="10"/>
        <v>3281</v>
      </c>
    </row>
    <row r="63" spans="2:6" ht="16.5" customHeight="1" x14ac:dyDescent="0.25">
      <c r="B63" s="291">
        <f t="shared" si="11"/>
        <v>44048</v>
      </c>
      <c r="C63" s="352">
        <v>10933</v>
      </c>
      <c r="D63" s="351">
        <f t="shared" si="12"/>
        <v>44414</v>
      </c>
      <c r="E63" s="352">
        <v>6379</v>
      </c>
      <c r="F63" s="353">
        <f t="shared" si="10"/>
        <v>4554</v>
      </c>
    </row>
    <row r="64" spans="2:6" ht="16.5" customHeight="1" x14ac:dyDescent="0.25">
      <c r="B64" s="291">
        <f t="shared" si="11"/>
        <v>44079</v>
      </c>
      <c r="C64" s="352">
        <v>15415</v>
      </c>
      <c r="D64" s="351">
        <f t="shared" si="12"/>
        <v>44445</v>
      </c>
      <c r="E64" s="352">
        <v>8939</v>
      </c>
      <c r="F64" s="353">
        <f t="shared" si="10"/>
        <v>6476</v>
      </c>
    </row>
    <row r="65" spans="2:6" ht="16.5" customHeight="1" x14ac:dyDescent="0.25">
      <c r="B65" s="291">
        <f t="shared" si="11"/>
        <v>44110</v>
      </c>
      <c r="C65" s="352">
        <v>9986</v>
      </c>
      <c r="D65" s="351">
        <f t="shared" si="12"/>
        <v>44476</v>
      </c>
      <c r="E65" s="352">
        <v>6360</v>
      </c>
      <c r="F65" s="353">
        <f t="shared" si="10"/>
        <v>3626</v>
      </c>
    </row>
    <row r="66" spans="2:6" ht="16.5" customHeight="1" x14ac:dyDescent="0.25">
      <c r="B66" s="291">
        <f t="shared" si="11"/>
        <v>44141</v>
      </c>
      <c r="C66" s="352">
        <v>15137</v>
      </c>
      <c r="D66" s="351">
        <f t="shared" si="12"/>
        <v>44507</v>
      </c>
      <c r="E66" s="352">
        <v>9884</v>
      </c>
      <c r="F66" s="353">
        <f t="shared" si="10"/>
        <v>5253</v>
      </c>
    </row>
    <row r="67" spans="2:6" ht="16.5" customHeight="1" x14ac:dyDescent="0.25">
      <c r="B67" s="291">
        <f t="shared" si="11"/>
        <v>44172</v>
      </c>
      <c r="C67" s="352">
        <v>14665</v>
      </c>
      <c r="D67" s="351">
        <f t="shared" si="12"/>
        <v>44538</v>
      </c>
      <c r="E67" s="352">
        <v>9662</v>
      </c>
      <c r="F67" s="353">
        <f t="shared" si="10"/>
        <v>5003</v>
      </c>
    </row>
    <row r="68" spans="2:6" ht="16.5" customHeight="1" x14ac:dyDescent="0.25"/>
    <row r="69" spans="2:6" ht="16.5" customHeight="1" x14ac:dyDescent="0.25"/>
  </sheetData>
  <mergeCells count="15">
    <mergeCell ref="B39:F39"/>
    <mergeCell ref="B54:F54"/>
    <mergeCell ref="B9:F9"/>
    <mergeCell ref="H16:J16"/>
    <mergeCell ref="H11:J11"/>
    <mergeCell ref="H12:J12"/>
    <mergeCell ref="H13:J13"/>
    <mergeCell ref="H14:J14"/>
    <mergeCell ref="H9:N9"/>
    <mergeCell ref="H10:J10"/>
    <mergeCell ref="B24:F24"/>
    <mergeCell ref="H15:J15"/>
    <mergeCell ref="H20:J20"/>
    <mergeCell ref="H21:J21"/>
    <mergeCell ref="H22:J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7121F-EB91-40C3-8881-7C92AC124AB4}">
  <sheetPr codeName="Planilha10">
    <tabColor theme="3" tint="0.59999389629810485"/>
  </sheetPr>
  <dimension ref="A1:Z58"/>
  <sheetViews>
    <sheetView showGridLines="0" showRowColHeaders="0" zoomScaleNormal="100" workbookViewId="0"/>
  </sheetViews>
  <sheetFormatPr defaultColWidth="0" defaultRowHeight="0" customHeight="1" zeroHeight="1" x14ac:dyDescent="0.25"/>
  <cols>
    <col min="1" max="2" width="9.140625" customWidth="1"/>
    <col min="3" max="3" width="12" customWidth="1"/>
    <col min="4" max="5" width="9.140625" customWidth="1"/>
    <col min="6" max="7" width="10.42578125" bestFit="1" customWidth="1"/>
    <col min="8" max="8" width="10.42578125" customWidth="1"/>
    <col min="9" max="9" width="10.42578125" bestFit="1" customWidth="1"/>
    <col min="10" max="11" width="9.140625" customWidth="1"/>
    <col min="12" max="12" width="14.7109375" customWidth="1"/>
    <col min="13" max="13" width="15.28515625" bestFit="1" customWidth="1"/>
    <col min="14" max="14" width="10.28515625" customWidth="1"/>
    <col min="15" max="15" width="10.140625" customWidth="1"/>
    <col min="16" max="16" width="14.7109375" bestFit="1" customWidth="1"/>
    <col min="17" max="17" width="11.85546875" customWidth="1"/>
    <col min="18" max="18" width="9.28515625" customWidth="1"/>
    <col min="19" max="19" width="12.5703125" customWidth="1"/>
    <col min="20" max="20" width="11.85546875" customWidth="1"/>
    <col min="21" max="21" width="3.5703125" customWidth="1"/>
    <col min="22" max="22" width="9.140625" customWidth="1"/>
    <col min="23" max="23" width="5.28515625" customWidth="1"/>
    <col min="24" max="24" width="9.140625" customWidth="1"/>
    <col min="25" max="25" width="12" customWidth="1"/>
    <col min="26" max="26" width="14.140625" hidden="1" customWidth="1"/>
    <col min="27" max="16384" width="9.140625" hidden="1"/>
  </cols>
  <sheetData>
    <row r="1" spans="1:21" s="26" customFormat="1" ht="3" customHeight="1" x14ac:dyDescent="0.25"/>
    <row r="2" spans="1:21" s="26" customFormat="1" ht="15" x14ac:dyDescent="0.25"/>
    <row r="3" spans="1:21" s="108" customFormat="1" ht="15" x14ac:dyDescent="0.25"/>
    <row r="4" spans="1:21" s="108" customFormat="1" ht="15" x14ac:dyDescent="0.25"/>
    <row r="5" spans="1:21" s="108" customFormat="1" ht="20.100000000000001" customHeight="1" x14ac:dyDescent="0.25"/>
    <row r="6" spans="1:21" ht="15" x14ac:dyDescent="0.25"/>
    <row r="7" spans="1:21" ht="15" x14ac:dyDescent="0.25">
      <c r="A7" s="26"/>
      <c r="B7" s="26"/>
      <c r="C7" s="149"/>
      <c r="D7" s="149"/>
      <c r="E7" s="149"/>
      <c r="F7" s="149"/>
      <c r="G7" s="149"/>
      <c r="H7" s="149"/>
      <c r="I7" s="149"/>
      <c r="J7" s="150"/>
      <c r="K7" s="150"/>
      <c r="L7" s="149"/>
      <c r="M7" s="149"/>
      <c r="N7" s="149"/>
      <c r="O7" s="149"/>
      <c r="P7" s="149"/>
      <c r="Q7" s="149"/>
      <c r="R7" s="149"/>
      <c r="S7" s="149"/>
      <c r="T7" s="149"/>
    </row>
    <row r="8" spans="1:21" ht="15.75" customHeight="1" x14ac:dyDescent="0.25">
      <c r="A8" s="26"/>
      <c r="B8" s="26"/>
      <c r="C8" s="151"/>
      <c r="D8" s="151"/>
      <c r="E8" s="151"/>
      <c r="F8" s="152"/>
      <c r="G8" s="152"/>
      <c r="H8" s="152"/>
      <c r="I8" s="152"/>
      <c r="J8" s="150"/>
      <c r="K8" s="150"/>
      <c r="L8" s="152"/>
      <c r="M8" s="152"/>
      <c r="N8" s="152"/>
      <c r="O8" s="152"/>
      <c r="P8" s="152"/>
      <c r="Q8" s="152"/>
      <c r="R8" s="152"/>
      <c r="S8" s="152"/>
      <c r="T8" s="152"/>
    </row>
    <row r="9" spans="1:21" ht="15" x14ac:dyDescent="0.25">
      <c r="A9" s="26"/>
      <c r="B9" s="26"/>
      <c r="C9" s="153"/>
      <c r="D9" s="153"/>
      <c r="E9" s="153"/>
      <c r="F9" s="154"/>
      <c r="G9" s="154"/>
      <c r="H9" s="154"/>
      <c r="I9" s="154"/>
      <c r="J9" s="155"/>
      <c r="K9" s="155"/>
      <c r="L9" s="147"/>
      <c r="M9" s="156"/>
      <c r="N9" s="156"/>
      <c r="O9" s="156"/>
      <c r="P9" s="147"/>
      <c r="Q9" s="147"/>
      <c r="R9" s="156"/>
      <c r="S9" s="156"/>
      <c r="T9" s="156"/>
    </row>
    <row r="10" spans="1:21" ht="15" x14ac:dyDescent="0.25">
      <c r="A10" s="26"/>
      <c r="B10" s="26"/>
      <c r="C10" s="153"/>
      <c r="D10" s="153"/>
      <c r="E10" s="153"/>
      <c r="F10" s="154"/>
      <c r="G10" s="154"/>
      <c r="H10" s="154"/>
      <c r="I10" s="154"/>
      <c r="J10" s="157"/>
      <c r="K10" s="157"/>
      <c r="L10" s="147"/>
      <c r="M10" s="156"/>
      <c r="N10" s="156"/>
      <c r="O10" s="156"/>
      <c r="P10" s="147"/>
      <c r="Q10" s="147"/>
      <c r="R10" s="156"/>
      <c r="S10" s="156"/>
      <c r="T10" s="156"/>
      <c r="U10" s="111"/>
    </row>
    <row r="11" spans="1:21" ht="15" x14ac:dyDescent="0.25">
      <c r="A11" s="26"/>
      <c r="B11" s="26"/>
      <c r="C11" s="153"/>
      <c r="D11" s="153"/>
      <c r="E11" s="153"/>
      <c r="F11" s="154"/>
      <c r="G11" s="154"/>
      <c r="H11" s="154"/>
      <c r="I11" s="154"/>
      <c r="J11" s="157"/>
      <c r="K11" s="157"/>
      <c r="L11" s="147"/>
      <c r="M11" s="156"/>
      <c r="N11" s="156"/>
      <c r="O11" s="156"/>
      <c r="P11" s="147"/>
      <c r="Q11" s="147"/>
      <c r="R11" s="156"/>
      <c r="S11" s="156"/>
      <c r="T11" s="156"/>
      <c r="U11" s="110"/>
    </row>
    <row r="12" spans="1:21" ht="15" x14ac:dyDescent="0.25">
      <c r="A12" s="26"/>
      <c r="B12" s="26"/>
      <c r="C12" s="153"/>
      <c r="D12" s="153"/>
      <c r="E12" s="153"/>
      <c r="F12" s="154"/>
      <c r="G12" s="154"/>
      <c r="H12" s="154"/>
      <c r="I12" s="154"/>
      <c r="J12" s="157"/>
      <c r="K12" s="157"/>
      <c r="L12" s="147"/>
      <c r="M12" s="156"/>
      <c r="N12" s="156"/>
      <c r="O12" s="156"/>
      <c r="P12" s="147"/>
      <c r="Q12" s="147"/>
      <c r="R12" s="156"/>
      <c r="S12" s="156"/>
      <c r="T12" s="156"/>
      <c r="U12" s="110"/>
    </row>
    <row r="13" spans="1:21" ht="15" x14ac:dyDescent="0.25">
      <c r="A13" s="26"/>
      <c r="B13" s="26"/>
      <c r="C13" s="153"/>
      <c r="D13" s="153"/>
      <c r="E13" s="153"/>
      <c r="F13" s="154"/>
      <c r="G13" s="154"/>
      <c r="H13" s="154"/>
      <c r="I13" s="154"/>
      <c r="J13" s="157"/>
      <c r="K13" s="157"/>
      <c r="L13" s="147"/>
      <c r="M13" s="156"/>
      <c r="N13" s="156"/>
      <c r="O13" s="156"/>
      <c r="P13" s="147"/>
      <c r="Q13" s="147"/>
      <c r="R13" s="156"/>
      <c r="S13" s="156"/>
      <c r="T13" s="156"/>
      <c r="U13" s="110"/>
    </row>
    <row r="14" spans="1:21" ht="15" x14ac:dyDescent="0.25">
      <c r="A14" s="26"/>
      <c r="B14" s="26"/>
      <c r="C14" s="153"/>
      <c r="D14" s="153"/>
      <c r="E14" s="153"/>
      <c r="F14" s="154"/>
      <c r="G14" s="154"/>
      <c r="H14" s="154"/>
      <c r="I14" s="154"/>
      <c r="J14" s="157"/>
      <c r="K14" s="157"/>
      <c r="L14" s="147"/>
      <c r="M14" s="156"/>
      <c r="N14" s="156"/>
      <c r="O14" s="156"/>
      <c r="P14" s="147"/>
      <c r="Q14" s="147"/>
      <c r="R14" s="156"/>
      <c r="S14" s="156"/>
      <c r="T14" s="156"/>
      <c r="U14" s="110"/>
    </row>
    <row r="15" spans="1:21" ht="15" x14ac:dyDescent="0.25">
      <c r="A15" s="26"/>
      <c r="B15" s="26"/>
      <c r="C15" s="153"/>
      <c r="D15" s="153"/>
      <c r="E15" s="153"/>
      <c r="F15" s="154"/>
      <c r="G15" s="154"/>
      <c r="H15" s="154"/>
      <c r="I15" s="154"/>
      <c r="J15" s="157"/>
      <c r="K15" s="157"/>
      <c r="L15" s="147"/>
      <c r="M15" s="156"/>
      <c r="N15" s="156"/>
      <c r="O15" s="156"/>
      <c r="P15" s="147"/>
      <c r="Q15" s="147"/>
      <c r="R15" s="156"/>
      <c r="S15" s="156"/>
      <c r="T15" s="156"/>
      <c r="U15" s="110"/>
    </row>
    <row r="16" spans="1:21" ht="15" x14ac:dyDescent="0.25">
      <c r="A16" s="26"/>
      <c r="B16" s="26"/>
      <c r="C16" s="153"/>
      <c r="D16" s="153"/>
      <c r="E16" s="153"/>
      <c r="F16" s="154"/>
      <c r="G16" s="154"/>
      <c r="H16" s="154"/>
      <c r="I16" s="154"/>
      <c r="J16" s="157"/>
      <c r="K16" s="157"/>
      <c r="L16" s="147"/>
      <c r="M16" s="156"/>
      <c r="N16" s="156"/>
      <c r="O16" s="156"/>
      <c r="P16" s="147"/>
      <c r="Q16" s="147"/>
      <c r="R16" s="156"/>
      <c r="S16" s="156"/>
      <c r="T16" s="156"/>
      <c r="U16" s="110"/>
    </row>
    <row r="17" spans="1:21" ht="15" x14ac:dyDescent="0.25">
      <c r="A17" s="26"/>
      <c r="B17" s="26"/>
      <c r="C17" s="153"/>
      <c r="D17" s="153"/>
      <c r="E17" s="153"/>
      <c r="F17" s="154"/>
      <c r="G17" s="154"/>
      <c r="H17" s="154"/>
      <c r="I17" s="154"/>
      <c r="J17" s="157"/>
      <c r="K17" s="157"/>
      <c r="L17" s="147"/>
      <c r="M17" s="156"/>
      <c r="N17" s="156"/>
      <c r="O17" s="156"/>
      <c r="P17" s="147"/>
      <c r="Q17" s="147"/>
      <c r="R17" s="156"/>
      <c r="S17" s="156"/>
      <c r="T17" s="156"/>
      <c r="U17" s="110"/>
    </row>
    <row r="18" spans="1:21" ht="15" x14ac:dyDescent="0.25">
      <c r="A18" s="26"/>
      <c r="B18" s="26"/>
      <c r="C18" s="153"/>
      <c r="D18" s="153"/>
      <c r="E18" s="153"/>
      <c r="F18" s="154"/>
      <c r="G18" s="154"/>
      <c r="H18" s="154"/>
      <c r="I18" s="154"/>
      <c r="J18" s="157"/>
      <c r="K18" s="157"/>
      <c r="L18" s="147"/>
      <c r="M18" s="156"/>
      <c r="N18" s="156"/>
      <c r="O18" s="156"/>
      <c r="P18" s="147"/>
      <c r="Q18" s="147"/>
      <c r="R18" s="156"/>
      <c r="S18" s="156"/>
      <c r="T18" s="156"/>
      <c r="U18" s="110"/>
    </row>
    <row r="19" spans="1:21" ht="15" x14ac:dyDescent="0.25">
      <c r="A19" s="26"/>
      <c r="B19" s="26"/>
      <c r="C19" s="153"/>
      <c r="D19" s="153"/>
      <c r="E19" s="153"/>
      <c r="F19" s="154"/>
      <c r="G19" s="154"/>
      <c r="H19" s="154"/>
      <c r="I19" s="154"/>
      <c r="J19" s="157"/>
      <c r="K19" s="157"/>
      <c r="L19" s="147"/>
      <c r="M19" s="156"/>
      <c r="N19" s="156"/>
      <c r="O19" s="156"/>
      <c r="P19" s="147"/>
      <c r="Q19" s="147"/>
      <c r="R19" s="156"/>
      <c r="S19" s="156"/>
      <c r="T19" s="156"/>
    </row>
    <row r="20" spans="1:21" ht="15" x14ac:dyDescent="0.25">
      <c r="A20" s="26"/>
      <c r="B20" s="26"/>
      <c r="C20" s="153"/>
      <c r="D20" s="153"/>
      <c r="E20" s="153"/>
      <c r="F20" s="154"/>
      <c r="G20" s="154"/>
      <c r="H20" s="154"/>
      <c r="I20" s="154"/>
      <c r="J20" s="157"/>
      <c r="K20" s="157"/>
      <c r="L20" s="147"/>
      <c r="M20" s="156"/>
      <c r="N20" s="156"/>
      <c r="O20" s="156"/>
      <c r="P20" s="147"/>
      <c r="Q20" s="147"/>
      <c r="R20" s="156"/>
      <c r="S20" s="156"/>
      <c r="T20" s="156"/>
    </row>
    <row r="21" spans="1:21" ht="15" customHeight="1" x14ac:dyDescent="0.25">
      <c r="A21" s="26"/>
      <c r="B21" s="26"/>
      <c r="C21" s="153"/>
      <c r="D21" s="153"/>
      <c r="E21" s="153"/>
      <c r="F21" s="154"/>
      <c r="G21" s="154"/>
      <c r="H21" s="154"/>
      <c r="I21" s="154"/>
      <c r="J21" s="157"/>
      <c r="K21" s="157"/>
      <c r="L21" s="158"/>
      <c r="M21" s="159"/>
      <c r="N21" s="159"/>
      <c r="O21" s="159"/>
      <c r="P21" s="158"/>
      <c r="Q21" s="158"/>
      <c r="R21" s="159"/>
      <c r="S21" s="159"/>
      <c r="T21" s="159"/>
    </row>
    <row r="22" spans="1:21" ht="15" customHeight="1" x14ac:dyDescent="0.25">
      <c r="A22" s="26"/>
      <c r="B22" s="26"/>
      <c r="C22" s="149"/>
      <c r="D22" s="149"/>
      <c r="E22" s="149"/>
      <c r="F22" s="160"/>
      <c r="G22" s="160"/>
      <c r="H22" s="160"/>
      <c r="I22" s="160"/>
      <c r="J22" s="157"/>
      <c r="K22" s="157"/>
      <c r="L22" s="161"/>
      <c r="M22" s="150"/>
      <c r="N22" s="150"/>
      <c r="O22" s="150"/>
      <c r="P22" s="150"/>
      <c r="Q22" s="150"/>
      <c r="R22" s="150"/>
      <c r="S22" s="162"/>
      <c r="T22" s="162"/>
    </row>
    <row r="23" spans="1:21" ht="15" customHeight="1" x14ac:dyDescent="0.25">
      <c r="A23" s="26"/>
      <c r="B23" s="26"/>
      <c r="C23" s="163"/>
      <c r="D23" s="164"/>
      <c r="E23" s="164"/>
      <c r="F23" s="150"/>
      <c r="G23" s="150"/>
      <c r="H23" s="150"/>
      <c r="I23" s="150"/>
      <c r="J23" s="165"/>
      <c r="K23" s="165"/>
      <c r="L23" s="161"/>
      <c r="M23" s="150"/>
      <c r="N23" s="150"/>
      <c r="O23" s="150"/>
      <c r="P23" s="150"/>
      <c r="Q23" s="150"/>
      <c r="R23" s="150"/>
      <c r="S23" s="150"/>
      <c r="T23" s="150"/>
    </row>
    <row r="24" spans="1:21" ht="15" x14ac:dyDescent="0.25">
      <c r="A24" s="26"/>
      <c r="B24" s="26"/>
      <c r="C24" s="150"/>
      <c r="D24" s="166"/>
      <c r="E24" s="166"/>
      <c r="F24" s="150"/>
      <c r="G24" s="150"/>
      <c r="H24" s="150"/>
      <c r="I24" s="150"/>
      <c r="J24" s="150"/>
      <c r="K24" s="150"/>
      <c r="L24" s="163"/>
      <c r="M24" s="150"/>
      <c r="N24" s="150"/>
      <c r="O24" s="150"/>
      <c r="P24" s="150"/>
      <c r="Q24" s="150"/>
      <c r="R24" s="150"/>
      <c r="S24" s="150"/>
      <c r="T24" s="150"/>
    </row>
    <row r="25" spans="1:21" ht="15" x14ac:dyDescent="0.25">
      <c r="A25" s="26"/>
      <c r="B25" s="26"/>
      <c r="C25" s="150"/>
      <c r="D25" s="166"/>
      <c r="E25" s="166"/>
      <c r="F25" s="150"/>
      <c r="G25" s="150"/>
      <c r="H25" s="150"/>
      <c r="I25" s="150"/>
      <c r="J25" s="150"/>
      <c r="K25" s="150"/>
      <c r="L25" s="164"/>
      <c r="M25" s="150"/>
      <c r="N25" s="150"/>
      <c r="O25" s="150"/>
      <c r="P25" s="150"/>
      <c r="Q25" s="150"/>
      <c r="R25" s="150"/>
      <c r="S25" s="150"/>
      <c r="T25" s="150"/>
    </row>
    <row r="26" spans="1:21" ht="15" x14ac:dyDescent="0.25">
      <c r="A26" s="26"/>
      <c r="B26" s="26"/>
      <c r="C26" s="150"/>
      <c r="D26" s="166"/>
      <c r="E26" s="166"/>
      <c r="F26" s="150"/>
      <c r="G26" s="150"/>
      <c r="H26" s="150"/>
      <c r="I26" s="150"/>
      <c r="J26" s="150"/>
      <c r="K26" s="150"/>
      <c r="L26" s="149"/>
      <c r="M26" s="149"/>
      <c r="N26" s="149"/>
      <c r="O26" s="149"/>
      <c r="P26" s="149"/>
      <c r="Q26" s="149"/>
      <c r="R26" s="149"/>
      <c r="S26" s="149"/>
      <c r="T26" s="149"/>
    </row>
    <row r="27" spans="1:21" ht="16.5" customHeight="1" x14ac:dyDescent="0.25">
      <c r="A27" s="26"/>
      <c r="B27" s="26"/>
      <c r="C27" s="150"/>
      <c r="D27" s="150"/>
      <c r="E27" s="150"/>
      <c r="F27" s="150"/>
      <c r="G27" s="150"/>
      <c r="H27" s="150"/>
      <c r="I27" s="150"/>
      <c r="J27" s="150"/>
      <c r="K27" s="150"/>
      <c r="L27" s="151"/>
      <c r="M27" s="151"/>
      <c r="N27" s="151"/>
      <c r="O27" s="151"/>
      <c r="P27" s="152"/>
      <c r="Q27" s="152"/>
      <c r="R27" s="152"/>
      <c r="S27" s="152"/>
      <c r="T27" s="152"/>
    </row>
    <row r="28" spans="1:21" ht="15" customHeight="1" x14ac:dyDescent="0.25">
      <c r="A28" s="26"/>
      <c r="B28" s="26"/>
      <c r="C28" s="150"/>
      <c r="D28" s="150"/>
      <c r="E28" s="146"/>
      <c r="F28" s="146"/>
      <c r="G28" s="150"/>
      <c r="H28" s="150"/>
      <c r="I28" s="150"/>
      <c r="J28" s="150"/>
      <c r="K28" s="150"/>
      <c r="L28" s="148"/>
      <c r="M28" s="148"/>
      <c r="N28" s="148"/>
      <c r="O28" s="148"/>
      <c r="P28" s="167"/>
      <c r="Q28" s="167"/>
      <c r="R28" s="168"/>
      <c r="S28" s="169"/>
      <c r="T28" s="169"/>
    </row>
    <row r="29" spans="1:21" ht="15" customHeight="1" x14ac:dyDescent="0.25">
      <c r="A29" s="26"/>
      <c r="B29" s="26"/>
      <c r="C29" s="150"/>
      <c r="D29" s="150"/>
      <c r="E29" s="150"/>
      <c r="F29" s="150"/>
      <c r="G29" s="150"/>
      <c r="H29" s="150"/>
      <c r="I29" s="150"/>
      <c r="J29" s="150"/>
      <c r="K29" s="150"/>
      <c r="L29" s="148"/>
      <c r="M29" s="148"/>
      <c r="N29" s="148"/>
      <c r="O29" s="148"/>
      <c r="P29" s="167"/>
      <c r="Q29" s="167"/>
      <c r="R29" s="168"/>
      <c r="S29" s="169"/>
      <c r="T29" s="169"/>
      <c r="U29" s="116"/>
    </row>
    <row r="30" spans="1:21" ht="15" x14ac:dyDescent="0.25">
      <c r="A30" s="26"/>
      <c r="B30" s="26"/>
      <c r="C30" s="150"/>
      <c r="D30" s="146" t="s">
        <v>30</v>
      </c>
      <c r="E30" s="150"/>
      <c r="F30" s="150"/>
      <c r="G30" s="150"/>
      <c r="H30" s="150"/>
      <c r="I30" s="150"/>
      <c r="J30" s="150"/>
      <c r="K30" s="150"/>
      <c r="L30" s="149"/>
      <c r="M30" s="149"/>
      <c r="N30" s="149"/>
      <c r="O30" s="149"/>
      <c r="P30" s="149"/>
      <c r="Q30" s="149"/>
      <c r="R30" s="149"/>
      <c r="S30" s="160"/>
      <c r="T30" s="160"/>
      <c r="U30" s="116"/>
    </row>
    <row r="31" spans="1:21" ht="15" x14ac:dyDescent="0.25">
      <c r="A31" s="26"/>
      <c r="B31" s="26"/>
      <c r="C31" s="150"/>
      <c r="D31" s="150"/>
      <c r="E31" s="150"/>
      <c r="F31" s="150"/>
      <c r="G31" s="150"/>
      <c r="H31" s="150"/>
      <c r="I31" s="150"/>
      <c r="J31" s="150"/>
      <c r="K31" s="150"/>
      <c r="L31" s="26"/>
      <c r="M31" s="26"/>
      <c r="N31" s="26"/>
      <c r="O31" s="26"/>
      <c r="P31" s="26"/>
      <c r="Q31" s="26"/>
      <c r="R31" s="26"/>
      <c r="S31" s="26"/>
      <c r="T31" s="26"/>
      <c r="U31" s="118"/>
    </row>
    <row r="32" spans="1:21" ht="24.75" customHeight="1" x14ac:dyDescent="0.25">
      <c r="C32" s="39"/>
      <c r="D32" s="150"/>
      <c r="E32" s="39"/>
      <c r="F32" s="39"/>
      <c r="G32" s="39"/>
      <c r="H32" s="39"/>
      <c r="I32" s="39"/>
      <c r="J32" s="39"/>
      <c r="K32" s="39"/>
      <c r="U32" s="119"/>
    </row>
    <row r="33" spans="4:4" ht="21" customHeight="1" x14ac:dyDescent="0.25">
      <c r="D33" s="150"/>
    </row>
    <row r="34" spans="4:4" ht="21.75" customHeight="1" x14ac:dyDescent="0.25">
      <c r="D34" s="39"/>
    </row>
    <row r="35" spans="4:4" ht="15" customHeight="1" x14ac:dyDescent="0.25"/>
    <row r="36" spans="4:4" ht="15" hidden="1" customHeight="1" x14ac:dyDescent="0.25"/>
    <row r="37" spans="4:4" ht="15" hidden="1" customHeight="1" x14ac:dyDescent="0.25"/>
    <row r="38" spans="4:4" ht="15" hidden="1" customHeight="1" x14ac:dyDescent="0.25"/>
    <row r="39" spans="4:4" ht="15" hidden="1" customHeight="1" x14ac:dyDescent="0.25"/>
    <row r="40" spans="4:4" ht="15" hidden="1" customHeight="1" x14ac:dyDescent="0.25"/>
    <row r="41" spans="4:4" ht="15" hidden="1" customHeight="1" x14ac:dyDescent="0.25"/>
    <row r="42" spans="4:4" ht="15" hidden="1" customHeight="1" x14ac:dyDescent="0.25"/>
    <row r="43" spans="4:4" ht="15" hidden="1" customHeight="1" x14ac:dyDescent="0.25"/>
    <row r="44" spans="4:4" ht="15" hidden="1" customHeight="1" x14ac:dyDescent="0.25"/>
    <row r="45" spans="4:4" ht="15" hidden="1" customHeight="1" x14ac:dyDescent="0.25"/>
    <row r="46" spans="4:4" ht="15" hidden="1" customHeight="1" x14ac:dyDescent="0.25"/>
    <row r="47" spans="4:4" ht="15" hidden="1" customHeight="1" x14ac:dyDescent="0.25"/>
    <row r="48" spans="4:4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3" tint="0.39997558519241921"/>
    <pageSetUpPr fitToPage="1"/>
  </sheetPr>
  <dimension ref="A1:T134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5.7109375" style="39" customWidth="1"/>
    <col min="2" max="2" width="19.28515625" style="39" customWidth="1"/>
    <col min="3" max="3" width="8.28515625" style="39" customWidth="1"/>
    <col min="4" max="15" width="13.7109375" style="39" customWidth="1"/>
    <col min="16" max="16" width="15.28515625" style="39" bestFit="1" customWidth="1"/>
    <col min="17" max="17" width="10.85546875" style="39" customWidth="1"/>
    <col min="18" max="18" width="15.28515625" style="39" bestFit="1" customWidth="1"/>
    <col min="19" max="19" width="12.140625" style="39" customWidth="1"/>
    <col min="20" max="20" width="8.7109375" style="39" customWidth="1"/>
    <col min="21" max="16384" width="8.85546875" style="39" hidden="1"/>
  </cols>
  <sheetData>
    <row r="1" spans="1:20" ht="3" customHeight="1" x14ac:dyDescent="0.25"/>
    <row r="2" spans="1:20" ht="14.25" customHeight="1" x14ac:dyDescent="0.25">
      <c r="J2" s="124"/>
      <c r="K2" s="124"/>
      <c r="L2" s="124"/>
      <c r="M2" s="124"/>
      <c r="N2" s="124"/>
      <c r="O2" s="124"/>
    </row>
    <row r="3" spans="1:20" x14ac:dyDescent="0.25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ht="15" customHeight="1" x14ac:dyDescent="0.25">
      <c r="A4" s="305"/>
      <c r="B4" s="305"/>
      <c r="C4" s="305"/>
      <c r="D4" s="305"/>
      <c r="E4" s="305"/>
      <c r="F4" s="306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</row>
    <row r="5" spans="1:20" ht="20.100000000000001" customHeight="1" x14ac:dyDescent="0.25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</row>
    <row r="6" spans="1:20" x14ac:dyDescent="0.25"/>
    <row r="7" spans="1:20" x14ac:dyDescent="0.25"/>
    <row r="8" spans="1:20" ht="18" x14ac:dyDescent="0.25">
      <c r="B8" s="399" t="s">
        <v>65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</row>
    <row r="9" spans="1:20" x14ac:dyDescent="0.25">
      <c r="B9" s="425"/>
      <c r="C9" s="425"/>
      <c r="D9" s="132">
        <v>44197</v>
      </c>
      <c r="E9" s="132">
        <v>44228</v>
      </c>
      <c r="F9" s="132">
        <v>44256</v>
      </c>
      <c r="G9" s="132">
        <v>44287</v>
      </c>
      <c r="H9" s="132">
        <v>44317</v>
      </c>
      <c r="I9" s="132">
        <v>44348</v>
      </c>
      <c r="J9" s="132">
        <v>44378</v>
      </c>
      <c r="K9" s="132">
        <v>44409</v>
      </c>
      <c r="L9" s="132">
        <v>44440</v>
      </c>
      <c r="M9" s="132">
        <v>44470</v>
      </c>
      <c r="N9" s="132">
        <v>44501</v>
      </c>
      <c r="O9" s="132">
        <v>44531</v>
      </c>
      <c r="P9" s="132" t="s">
        <v>66</v>
      </c>
    </row>
    <row r="10" spans="1:20" x14ac:dyDescent="0.25">
      <c r="B10" s="426" t="s">
        <v>67</v>
      </c>
      <c r="C10" s="426"/>
      <c r="D10" s="133">
        <v>21329525</v>
      </c>
      <c r="E10" s="133">
        <v>18942126</v>
      </c>
      <c r="F10" s="133">
        <v>21410977</v>
      </c>
      <c r="G10" s="133">
        <v>21009584</v>
      </c>
      <c r="H10" s="133">
        <v>21562632</v>
      </c>
      <c r="I10" s="133">
        <v>21199014</v>
      </c>
      <c r="J10" s="133">
        <v>21396238</v>
      </c>
      <c r="K10" s="133">
        <v>22142863</v>
      </c>
      <c r="L10" s="133">
        <v>22155409</v>
      </c>
      <c r="M10" s="133">
        <v>21949411</v>
      </c>
      <c r="N10" s="133">
        <v>20403085</v>
      </c>
      <c r="O10" s="133">
        <v>20515399</v>
      </c>
      <c r="P10" s="134">
        <f>SUM(D10:O10)</f>
        <v>254016263</v>
      </c>
    </row>
    <row r="11" spans="1:20" x14ac:dyDescent="0.25">
      <c r="B11" s="426" t="s">
        <v>68</v>
      </c>
      <c r="C11" s="426"/>
      <c r="D11" s="133">
        <v>11667924</v>
      </c>
      <c r="E11" s="133">
        <v>12028033</v>
      </c>
      <c r="F11" s="133">
        <v>12316128</v>
      </c>
      <c r="G11" s="133">
        <v>11467995</v>
      </c>
      <c r="H11" s="133">
        <v>11058919</v>
      </c>
      <c r="I11" s="133">
        <v>10550494</v>
      </c>
      <c r="J11" s="133">
        <v>10438164</v>
      </c>
      <c r="K11" s="133">
        <v>10471271</v>
      </c>
      <c r="L11" s="133">
        <v>10273113</v>
      </c>
      <c r="M11" s="133">
        <v>10966203</v>
      </c>
      <c r="N11" s="133">
        <v>11161624</v>
      </c>
      <c r="O11" s="133">
        <v>12501741</v>
      </c>
      <c r="P11" s="134">
        <f>SUM(D11:O11)</f>
        <v>134901609</v>
      </c>
    </row>
    <row r="12" spans="1:20" x14ac:dyDescent="0.25">
      <c r="B12" s="423" t="s">
        <v>69</v>
      </c>
      <c r="C12" s="423"/>
      <c r="D12" s="125">
        <f>SUM(D10:D11)</f>
        <v>32997449</v>
      </c>
      <c r="E12" s="125">
        <f t="shared" ref="E12:O12" si="0">SUM(E10:E11)</f>
        <v>30970159</v>
      </c>
      <c r="F12" s="125">
        <f t="shared" si="0"/>
        <v>33727105</v>
      </c>
      <c r="G12" s="125">
        <f t="shared" si="0"/>
        <v>32477579</v>
      </c>
      <c r="H12" s="125">
        <f t="shared" si="0"/>
        <v>32621551</v>
      </c>
      <c r="I12" s="125">
        <f t="shared" si="0"/>
        <v>31749508</v>
      </c>
      <c r="J12" s="125">
        <f t="shared" si="0"/>
        <v>31834402</v>
      </c>
      <c r="K12" s="125">
        <f t="shared" si="0"/>
        <v>32614134</v>
      </c>
      <c r="L12" s="125">
        <f t="shared" si="0"/>
        <v>32428522</v>
      </c>
      <c r="M12" s="125">
        <f t="shared" si="0"/>
        <v>32915614</v>
      </c>
      <c r="N12" s="125">
        <f t="shared" si="0"/>
        <v>31564709</v>
      </c>
      <c r="O12" s="125">
        <f t="shared" si="0"/>
        <v>33017140</v>
      </c>
      <c r="P12" s="125">
        <f>SUM(P10:P11)</f>
        <v>388917872</v>
      </c>
    </row>
    <row r="13" spans="1:20" x14ac:dyDescent="0.25">
      <c r="B13" s="146" t="s">
        <v>30</v>
      </c>
      <c r="C13" s="126"/>
      <c r="D13" s="126"/>
      <c r="F13" s="126"/>
      <c r="G13" s="126"/>
      <c r="H13" s="126"/>
      <c r="I13" s="126"/>
      <c r="J13" s="126"/>
      <c r="K13" s="126"/>
      <c r="L13" s="127"/>
      <c r="P13" s="128"/>
    </row>
    <row r="14" spans="1:20" ht="16.5" customHeight="1" x14ac:dyDescent="0.25"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129"/>
      <c r="P14" s="129"/>
      <c r="Q14" s="114"/>
    </row>
    <row r="15" spans="1:20" x14ac:dyDescent="0.25">
      <c r="B15" s="126"/>
      <c r="C15" s="126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1:20" ht="18" x14ac:dyDescent="0.25">
      <c r="B16" s="419" t="s">
        <v>70</v>
      </c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1"/>
    </row>
    <row r="17" spans="2:17" x14ac:dyDescent="0.25">
      <c r="B17" s="425" t="s">
        <v>71</v>
      </c>
      <c r="C17" s="425" t="s">
        <v>72</v>
      </c>
      <c r="D17" s="132">
        <v>44197</v>
      </c>
      <c r="E17" s="132">
        <v>44228</v>
      </c>
      <c r="F17" s="132">
        <v>44256</v>
      </c>
      <c r="G17" s="132">
        <v>44287</v>
      </c>
      <c r="H17" s="132">
        <v>44317</v>
      </c>
      <c r="I17" s="132">
        <v>44348</v>
      </c>
      <c r="J17" s="132">
        <v>44378</v>
      </c>
      <c r="K17" s="132">
        <v>44409</v>
      </c>
      <c r="L17" s="132">
        <v>44440</v>
      </c>
      <c r="M17" s="132">
        <v>44470</v>
      </c>
      <c r="N17" s="132">
        <v>44501</v>
      </c>
      <c r="O17" s="132">
        <v>44531</v>
      </c>
      <c r="P17" s="132" t="s">
        <v>69</v>
      </c>
    </row>
    <row r="18" spans="2:17" x14ac:dyDescent="0.25">
      <c r="B18" s="422" t="s">
        <v>73</v>
      </c>
      <c r="C18" s="141" t="s">
        <v>74</v>
      </c>
      <c r="D18" s="133">
        <v>1454013</v>
      </c>
      <c r="E18" s="133">
        <v>1630020</v>
      </c>
      <c r="F18" s="133">
        <v>1475413</v>
      </c>
      <c r="G18" s="133">
        <v>1512368</v>
      </c>
      <c r="H18" s="133">
        <v>1501402</v>
      </c>
      <c r="I18" s="133">
        <v>1478597</v>
      </c>
      <c r="J18" s="133">
        <v>1560498</v>
      </c>
      <c r="K18" s="133">
        <v>1646564</v>
      </c>
      <c r="L18" s="133">
        <v>1343487</v>
      </c>
      <c r="M18" s="133">
        <v>1489875</v>
      </c>
      <c r="N18" s="133">
        <v>1606341</v>
      </c>
      <c r="O18" s="133">
        <v>1625899</v>
      </c>
      <c r="P18" s="227">
        <f>SUM(D18:O18)</f>
        <v>18324477</v>
      </c>
    </row>
    <row r="19" spans="2:17" x14ac:dyDescent="0.25">
      <c r="B19" s="422"/>
      <c r="C19" s="141" t="s">
        <v>75</v>
      </c>
      <c r="D19" s="133">
        <v>3991734</v>
      </c>
      <c r="E19" s="133">
        <v>4002667</v>
      </c>
      <c r="F19" s="133">
        <v>3999282</v>
      </c>
      <c r="G19" s="133">
        <v>4003955</v>
      </c>
      <c r="H19" s="133">
        <v>3998519</v>
      </c>
      <c r="I19" s="133">
        <v>4003326</v>
      </c>
      <c r="J19" s="133">
        <v>3987113</v>
      </c>
      <c r="K19" s="133">
        <v>3930940</v>
      </c>
      <c r="L19" s="133">
        <v>3971041</v>
      </c>
      <c r="M19" s="133">
        <v>4028918</v>
      </c>
      <c r="N19" s="133">
        <v>4021432</v>
      </c>
      <c r="O19" s="133">
        <v>4027193</v>
      </c>
      <c r="P19" s="227">
        <f t="shared" ref="P19:P23" si="1">SUM(D19:O19)</f>
        <v>47966120</v>
      </c>
    </row>
    <row r="20" spans="2:17" x14ac:dyDescent="0.25">
      <c r="B20" s="422"/>
      <c r="C20" s="141" t="s">
        <v>76</v>
      </c>
      <c r="D20" s="133">
        <v>3057780</v>
      </c>
      <c r="E20" s="133">
        <v>2592565</v>
      </c>
      <c r="F20" s="133">
        <v>2958755</v>
      </c>
      <c r="G20" s="133">
        <v>2931815</v>
      </c>
      <c r="H20" s="133">
        <v>2964576</v>
      </c>
      <c r="I20" s="133">
        <v>2964656</v>
      </c>
      <c r="J20" s="133">
        <v>2836878</v>
      </c>
      <c r="K20" s="133">
        <v>2648482</v>
      </c>
      <c r="L20" s="133">
        <v>3321429</v>
      </c>
      <c r="M20" s="133">
        <v>3050658</v>
      </c>
      <c r="N20" s="133">
        <v>2817128</v>
      </c>
      <c r="O20" s="133">
        <v>2741445</v>
      </c>
      <c r="P20" s="227">
        <f t="shared" si="1"/>
        <v>34886167</v>
      </c>
      <c r="Q20" s="130"/>
    </row>
    <row r="21" spans="2:17" x14ac:dyDescent="0.25">
      <c r="B21" s="422"/>
      <c r="C21" s="141" t="s">
        <v>77</v>
      </c>
      <c r="D21" s="133">
        <v>1499181</v>
      </c>
      <c r="E21" s="133">
        <v>1149152</v>
      </c>
      <c r="F21" s="133">
        <v>1498425</v>
      </c>
      <c r="G21" s="133">
        <v>1384178</v>
      </c>
      <c r="H21" s="133">
        <v>1475171</v>
      </c>
      <c r="I21" s="133">
        <v>1546898</v>
      </c>
      <c r="J21" s="133">
        <v>1392434</v>
      </c>
      <c r="K21" s="133">
        <v>1289996</v>
      </c>
      <c r="L21" s="133">
        <v>1893858</v>
      </c>
      <c r="M21" s="133">
        <v>1529395</v>
      </c>
      <c r="N21" s="133">
        <v>1293658</v>
      </c>
      <c r="O21" s="133">
        <v>1245993</v>
      </c>
      <c r="P21" s="227">
        <f t="shared" si="1"/>
        <v>17198339</v>
      </c>
    </row>
    <row r="22" spans="2:17" x14ac:dyDescent="0.25">
      <c r="B22" s="422"/>
      <c r="C22" s="141" t="s">
        <v>78</v>
      </c>
      <c r="D22" s="133">
        <v>552868</v>
      </c>
      <c r="E22" s="133">
        <v>421768</v>
      </c>
      <c r="F22" s="133">
        <v>523005</v>
      </c>
      <c r="G22" s="133">
        <v>511454</v>
      </c>
      <c r="H22" s="133">
        <v>564013</v>
      </c>
      <c r="I22" s="133">
        <v>599811</v>
      </c>
      <c r="J22" s="133">
        <v>573831</v>
      </c>
      <c r="K22" s="133">
        <v>564664</v>
      </c>
      <c r="L22" s="133">
        <v>862174</v>
      </c>
      <c r="M22" s="133">
        <v>600884</v>
      </c>
      <c r="N22" s="133">
        <v>462331</v>
      </c>
      <c r="O22" s="133">
        <v>461886</v>
      </c>
      <c r="P22" s="227">
        <f t="shared" si="1"/>
        <v>6698689</v>
      </c>
    </row>
    <row r="23" spans="2:17" x14ac:dyDescent="0.25">
      <c r="B23" s="422"/>
      <c r="C23" s="141" t="s">
        <v>79</v>
      </c>
      <c r="D23" s="133">
        <v>415483</v>
      </c>
      <c r="E23" s="133">
        <v>348089</v>
      </c>
      <c r="F23" s="133">
        <v>407551</v>
      </c>
      <c r="G23" s="133">
        <v>401851</v>
      </c>
      <c r="H23" s="133">
        <v>424909</v>
      </c>
      <c r="I23" s="133">
        <v>510635</v>
      </c>
      <c r="J23" s="133">
        <v>507457</v>
      </c>
      <c r="K23" s="133">
        <v>525801</v>
      </c>
      <c r="L23" s="133">
        <v>756321</v>
      </c>
      <c r="M23" s="133">
        <v>486422</v>
      </c>
      <c r="N23" s="133">
        <v>427574</v>
      </c>
      <c r="O23" s="133">
        <v>530069</v>
      </c>
      <c r="P23" s="227">
        <f t="shared" si="1"/>
        <v>5742162</v>
      </c>
    </row>
    <row r="24" spans="2:17" x14ac:dyDescent="0.25">
      <c r="B24" s="423" t="s">
        <v>80</v>
      </c>
      <c r="C24" s="423"/>
      <c r="D24" s="125">
        <f xml:space="preserve"> SUM(D18:D23)</f>
        <v>10971059</v>
      </c>
      <c r="E24" s="125">
        <f t="shared" ref="E24:O24" si="2" xml:space="preserve"> SUM(E18:E23)</f>
        <v>10144261</v>
      </c>
      <c r="F24" s="125">
        <f t="shared" si="2"/>
        <v>10862431</v>
      </c>
      <c r="G24" s="125">
        <f t="shared" si="2"/>
        <v>10745621</v>
      </c>
      <c r="H24" s="125">
        <f t="shared" si="2"/>
        <v>10928590</v>
      </c>
      <c r="I24" s="125">
        <f t="shared" si="2"/>
        <v>11103923</v>
      </c>
      <c r="J24" s="125">
        <f t="shared" si="2"/>
        <v>10858211</v>
      </c>
      <c r="K24" s="125">
        <f t="shared" si="2"/>
        <v>10606447</v>
      </c>
      <c r="L24" s="125">
        <f t="shared" si="2"/>
        <v>12148310</v>
      </c>
      <c r="M24" s="125">
        <f xml:space="preserve"> SUM(M18:M23)</f>
        <v>11186152</v>
      </c>
      <c r="N24" s="125">
        <f t="shared" si="2"/>
        <v>10628464</v>
      </c>
      <c r="O24" s="125">
        <f t="shared" si="2"/>
        <v>10632485</v>
      </c>
      <c r="P24" s="143">
        <f>SUM(D24:O24)</f>
        <v>130815954</v>
      </c>
    </row>
    <row r="25" spans="2:17" x14ac:dyDescent="0.25">
      <c r="B25" s="422" t="s">
        <v>81</v>
      </c>
      <c r="C25" s="141" t="s">
        <v>74</v>
      </c>
      <c r="D25" s="133">
        <v>29612</v>
      </c>
      <c r="E25" s="133">
        <v>34495</v>
      </c>
      <c r="F25" s="133">
        <v>28966</v>
      </c>
      <c r="G25" s="133">
        <v>29257</v>
      </c>
      <c r="H25" s="133">
        <v>29087</v>
      </c>
      <c r="I25" s="133">
        <v>30861</v>
      </c>
      <c r="J25" s="133">
        <v>35201</v>
      </c>
      <c r="K25" s="133">
        <v>35308</v>
      </c>
      <c r="L25" s="133">
        <v>27675</v>
      </c>
      <c r="M25" s="133">
        <v>32287</v>
      </c>
      <c r="N25" s="133">
        <v>36849</v>
      </c>
      <c r="O25" s="133">
        <v>35551</v>
      </c>
      <c r="P25" s="227">
        <f>SUM(D25:O25)</f>
        <v>385149</v>
      </c>
    </row>
    <row r="26" spans="2:17" x14ac:dyDescent="0.25">
      <c r="B26" s="422"/>
      <c r="C26" s="141" t="s">
        <v>75</v>
      </c>
      <c r="D26" s="133">
        <v>76922</v>
      </c>
      <c r="E26" s="133">
        <v>78439</v>
      </c>
      <c r="F26" s="133">
        <v>81318</v>
      </c>
      <c r="G26" s="133">
        <v>82780</v>
      </c>
      <c r="H26" s="133">
        <v>85313</v>
      </c>
      <c r="I26" s="133">
        <v>90510</v>
      </c>
      <c r="J26" s="133">
        <v>91348</v>
      </c>
      <c r="K26" s="133">
        <v>90231</v>
      </c>
      <c r="L26" s="133">
        <v>92808</v>
      </c>
      <c r="M26" s="133">
        <v>91159</v>
      </c>
      <c r="N26" s="133">
        <v>88976</v>
      </c>
      <c r="O26" s="133">
        <v>91367</v>
      </c>
      <c r="P26" s="227">
        <f t="shared" ref="P26:P29" si="3">SUM(D26:O26)</f>
        <v>1041171</v>
      </c>
    </row>
    <row r="27" spans="2:17" x14ac:dyDescent="0.25">
      <c r="B27" s="422"/>
      <c r="C27" s="141" t="s">
        <v>76</v>
      </c>
      <c r="D27" s="133">
        <v>64700</v>
      </c>
      <c r="E27" s="133">
        <v>56595</v>
      </c>
      <c r="F27" s="133">
        <v>61275</v>
      </c>
      <c r="G27" s="133">
        <v>62805</v>
      </c>
      <c r="H27" s="133">
        <v>64835</v>
      </c>
      <c r="I27" s="133">
        <v>67682</v>
      </c>
      <c r="J27" s="133">
        <v>64527</v>
      </c>
      <c r="K27" s="133">
        <v>64523</v>
      </c>
      <c r="L27" s="133">
        <v>81728</v>
      </c>
      <c r="M27" s="133">
        <v>73446</v>
      </c>
      <c r="N27" s="133">
        <v>67677</v>
      </c>
      <c r="O27" s="133">
        <v>68424</v>
      </c>
      <c r="P27" s="227">
        <f t="shared" si="3"/>
        <v>798217</v>
      </c>
    </row>
    <row r="28" spans="2:17" x14ac:dyDescent="0.25">
      <c r="B28" s="422"/>
      <c r="C28" s="141" t="s">
        <v>77</v>
      </c>
      <c r="D28" s="133">
        <v>32593</v>
      </c>
      <c r="E28" s="133">
        <v>23743</v>
      </c>
      <c r="F28" s="133">
        <v>30635</v>
      </c>
      <c r="G28" s="133">
        <v>28610</v>
      </c>
      <c r="H28" s="133">
        <v>29905</v>
      </c>
      <c r="I28" s="133">
        <v>33561</v>
      </c>
      <c r="J28" s="133">
        <v>31695</v>
      </c>
      <c r="K28" s="133">
        <v>27497</v>
      </c>
      <c r="L28" s="133">
        <v>46699</v>
      </c>
      <c r="M28" s="133">
        <v>38680</v>
      </c>
      <c r="N28" s="133">
        <v>33376</v>
      </c>
      <c r="O28" s="133">
        <v>33145</v>
      </c>
      <c r="P28" s="227">
        <f t="shared" si="3"/>
        <v>390139</v>
      </c>
    </row>
    <row r="29" spans="2:17" x14ac:dyDescent="0.25">
      <c r="B29" s="422"/>
      <c r="C29" s="141" t="s">
        <v>78</v>
      </c>
      <c r="D29" s="133">
        <v>9878</v>
      </c>
      <c r="E29" s="133">
        <v>7141</v>
      </c>
      <c r="F29" s="133">
        <v>8533</v>
      </c>
      <c r="G29" s="133">
        <v>8605</v>
      </c>
      <c r="H29" s="133">
        <v>8544</v>
      </c>
      <c r="I29" s="133">
        <v>9243</v>
      </c>
      <c r="J29" s="133">
        <v>8157</v>
      </c>
      <c r="K29" s="133">
        <v>8373</v>
      </c>
      <c r="L29" s="133">
        <v>14750</v>
      </c>
      <c r="M29" s="133">
        <v>11921</v>
      </c>
      <c r="N29" s="133">
        <v>9794</v>
      </c>
      <c r="O29" s="133">
        <v>10236</v>
      </c>
      <c r="P29" s="227">
        <f t="shared" si="3"/>
        <v>115175</v>
      </c>
    </row>
    <row r="30" spans="2:17" x14ac:dyDescent="0.25">
      <c r="B30" s="422"/>
      <c r="C30" s="141" t="s">
        <v>79</v>
      </c>
      <c r="D30" s="133">
        <v>6005</v>
      </c>
      <c r="E30" s="133">
        <v>6253</v>
      </c>
      <c r="F30" s="133">
        <v>9568</v>
      </c>
      <c r="G30" s="133">
        <v>7778</v>
      </c>
      <c r="H30" s="133">
        <v>6116</v>
      </c>
      <c r="I30" s="133">
        <v>7545</v>
      </c>
      <c r="J30" s="133">
        <v>6413</v>
      </c>
      <c r="K30" s="133">
        <v>6289</v>
      </c>
      <c r="L30" s="133">
        <v>7886</v>
      </c>
      <c r="M30" s="133">
        <v>6649</v>
      </c>
      <c r="N30" s="133">
        <v>7292</v>
      </c>
      <c r="O30" s="133">
        <v>7362</v>
      </c>
      <c r="P30" s="227">
        <f>SUM(D30:O30)</f>
        <v>85156</v>
      </c>
    </row>
    <row r="31" spans="2:17" ht="14.25" customHeight="1" x14ac:dyDescent="0.25">
      <c r="B31" s="423" t="s">
        <v>80</v>
      </c>
      <c r="C31" s="423"/>
      <c r="D31" s="125">
        <f t="shared" ref="D31:O31" si="4">SUM(D25:D30)</f>
        <v>219710</v>
      </c>
      <c r="E31" s="125">
        <f t="shared" si="4"/>
        <v>206666</v>
      </c>
      <c r="F31" s="125">
        <f t="shared" si="4"/>
        <v>220295</v>
      </c>
      <c r="G31" s="125">
        <f t="shared" si="4"/>
        <v>219835</v>
      </c>
      <c r="H31" s="125">
        <f t="shared" si="4"/>
        <v>223800</v>
      </c>
      <c r="I31" s="125">
        <f t="shared" si="4"/>
        <v>239402</v>
      </c>
      <c r="J31" s="125">
        <f t="shared" si="4"/>
        <v>237341</v>
      </c>
      <c r="K31" s="125">
        <f t="shared" si="4"/>
        <v>232221</v>
      </c>
      <c r="L31" s="125">
        <f t="shared" si="4"/>
        <v>271546</v>
      </c>
      <c r="M31" s="125">
        <f t="shared" si="4"/>
        <v>254142</v>
      </c>
      <c r="N31" s="125">
        <f t="shared" si="4"/>
        <v>243964</v>
      </c>
      <c r="O31" s="125">
        <f t="shared" si="4"/>
        <v>246085</v>
      </c>
      <c r="P31" s="143">
        <f>SUM(D31:O31)</f>
        <v>2815007</v>
      </c>
    </row>
    <row r="32" spans="2:17" x14ac:dyDescent="0.25">
      <c r="B32" s="424" t="s">
        <v>48</v>
      </c>
      <c r="C32" s="141" t="s">
        <v>82</v>
      </c>
      <c r="D32" s="133">
        <v>40390</v>
      </c>
      <c r="E32" s="133">
        <v>40920</v>
      </c>
      <c r="F32" s="133">
        <v>41204</v>
      </c>
      <c r="G32" s="133">
        <v>42107</v>
      </c>
      <c r="H32" s="133">
        <v>41278</v>
      </c>
      <c r="I32" s="133">
        <v>40681</v>
      </c>
      <c r="J32" s="133">
        <v>40752</v>
      </c>
      <c r="K32" s="133">
        <v>41404</v>
      </c>
      <c r="L32" s="133">
        <v>39570</v>
      </c>
      <c r="M32" s="133">
        <v>40338</v>
      </c>
      <c r="N32" s="133">
        <v>41578</v>
      </c>
      <c r="O32" s="133">
        <v>41237</v>
      </c>
      <c r="P32" s="228">
        <f>SUM(D32:O32)</f>
        <v>491459</v>
      </c>
    </row>
    <row r="33" spans="2:16" x14ac:dyDescent="0.25">
      <c r="B33" s="424"/>
      <c r="C33" s="141" t="s">
        <v>83</v>
      </c>
      <c r="D33" s="133">
        <v>44447</v>
      </c>
      <c r="E33" s="133">
        <v>45285</v>
      </c>
      <c r="F33" s="133">
        <v>44150</v>
      </c>
      <c r="G33" s="133">
        <v>43525</v>
      </c>
      <c r="H33" s="133">
        <v>44652</v>
      </c>
      <c r="I33" s="133">
        <v>44748</v>
      </c>
      <c r="J33" s="133">
        <v>46164</v>
      </c>
      <c r="K33" s="133">
        <v>46372</v>
      </c>
      <c r="L33" s="133">
        <v>45549</v>
      </c>
      <c r="M33" s="133">
        <v>46774</v>
      </c>
      <c r="N33" s="133">
        <v>46847</v>
      </c>
      <c r="O33" s="133">
        <v>47249</v>
      </c>
      <c r="P33" s="228">
        <f t="shared" ref="P33:P36" si="5">SUM(D33:O33)</f>
        <v>545762</v>
      </c>
    </row>
    <row r="34" spans="2:16" x14ac:dyDescent="0.25">
      <c r="B34" s="424"/>
      <c r="C34" s="141" t="s">
        <v>84</v>
      </c>
      <c r="D34" s="133">
        <v>47965</v>
      </c>
      <c r="E34" s="133">
        <v>46279</v>
      </c>
      <c r="F34" s="133">
        <v>45244</v>
      </c>
      <c r="G34" s="133">
        <v>45650</v>
      </c>
      <c r="H34" s="133">
        <v>47385</v>
      </c>
      <c r="I34" s="133">
        <v>49281</v>
      </c>
      <c r="J34" s="133">
        <v>50114</v>
      </c>
      <c r="K34" s="133">
        <v>50148</v>
      </c>
      <c r="L34" s="133">
        <v>49310</v>
      </c>
      <c r="M34" s="133">
        <v>49603</v>
      </c>
      <c r="N34" s="133">
        <v>49493</v>
      </c>
      <c r="O34" s="133">
        <v>47808</v>
      </c>
      <c r="P34" s="228">
        <f t="shared" si="5"/>
        <v>578280</v>
      </c>
    </row>
    <row r="35" spans="2:16" x14ac:dyDescent="0.25">
      <c r="B35" s="424"/>
      <c r="C35" s="141" t="s">
        <v>85</v>
      </c>
      <c r="D35" s="133">
        <v>229694</v>
      </c>
      <c r="E35" s="133">
        <v>227003</v>
      </c>
      <c r="F35" s="133">
        <v>227603</v>
      </c>
      <c r="G35" s="133">
        <v>216044</v>
      </c>
      <c r="H35" s="133">
        <v>234403</v>
      </c>
      <c r="I35" s="133">
        <v>239985</v>
      </c>
      <c r="J35" s="133">
        <v>241015</v>
      </c>
      <c r="K35" s="133">
        <v>234716</v>
      </c>
      <c r="L35" s="133">
        <v>265831</v>
      </c>
      <c r="M35" s="133">
        <v>255401</v>
      </c>
      <c r="N35" s="133">
        <v>241676</v>
      </c>
      <c r="O35" s="133">
        <v>242882</v>
      </c>
      <c r="P35" s="228">
        <f t="shared" si="5"/>
        <v>2856253</v>
      </c>
    </row>
    <row r="36" spans="2:16" x14ac:dyDescent="0.25">
      <c r="B36" s="424"/>
      <c r="C36" s="141" t="s">
        <v>86</v>
      </c>
      <c r="D36" s="133">
        <v>622102</v>
      </c>
      <c r="E36" s="133">
        <v>611495</v>
      </c>
      <c r="F36" s="133">
        <v>604456</v>
      </c>
      <c r="G36" s="133">
        <v>544813</v>
      </c>
      <c r="H36" s="133">
        <v>634210</v>
      </c>
      <c r="I36" s="133">
        <v>666449</v>
      </c>
      <c r="J36" s="133">
        <v>687342</v>
      </c>
      <c r="K36" s="133">
        <v>673176</v>
      </c>
      <c r="L36" s="133">
        <v>789754</v>
      </c>
      <c r="M36" s="133">
        <v>728855</v>
      </c>
      <c r="N36" s="133">
        <v>698432</v>
      </c>
      <c r="O36" s="133">
        <v>703017</v>
      </c>
      <c r="P36" s="228">
        <f t="shared" si="5"/>
        <v>7964101</v>
      </c>
    </row>
    <row r="37" spans="2:16" x14ac:dyDescent="0.25">
      <c r="B37" s="418" t="s">
        <v>80</v>
      </c>
      <c r="C37" s="418"/>
      <c r="D37" s="143">
        <f>SUM(D32:D36)</f>
        <v>984598</v>
      </c>
      <c r="E37" s="143">
        <f t="shared" ref="E37:N37" si="6">SUM(E32:E36)</f>
        <v>970982</v>
      </c>
      <c r="F37" s="143">
        <f t="shared" si="6"/>
        <v>962657</v>
      </c>
      <c r="G37" s="143">
        <f t="shared" si="6"/>
        <v>892139</v>
      </c>
      <c r="H37" s="143">
        <f t="shared" si="6"/>
        <v>1001928</v>
      </c>
      <c r="I37" s="143">
        <f t="shared" si="6"/>
        <v>1041144</v>
      </c>
      <c r="J37" s="143">
        <f t="shared" si="6"/>
        <v>1065387</v>
      </c>
      <c r="K37" s="143">
        <f t="shared" si="6"/>
        <v>1045816</v>
      </c>
      <c r="L37" s="143">
        <f t="shared" si="6"/>
        <v>1190014</v>
      </c>
      <c r="M37" s="143">
        <f t="shared" si="6"/>
        <v>1120971</v>
      </c>
      <c r="N37" s="143">
        <f t="shared" si="6"/>
        <v>1078026</v>
      </c>
      <c r="O37" s="143">
        <f>SUM(O32:O36)</f>
        <v>1082193</v>
      </c>
      <c r="P37" s="143">
        <f>SUM(D37:O37)</f>
        <v>12435855</v>
      </c>
    </row>
    <row r="38" spans="2:16" x14ac:dyDescent="0.25">
      <c r="B38" s="424" t="s">
        <v>49</v>
      </c>
      <c r="C38" s="141" t="s">
        <v>82</v>
      </c>
      <c r="D38" s="133">
        <v>373</v>
      </c>
      <c r="E38" s="133">
        <v>327</v>
      </c>
      <c r="F38" s="133">
        <v>370</v>
      </c>
      <c r="G38" s="133">
        <v>391</v>
      </c>
      <c r="H38" s="133">
        <v>396</v>
      </c>
      <c r="I38" s="133">
        <v>345</v>
      </c>
      <c r="J38" s="133">
        <v>329</v>
      </c>
      <c r="K38" s="133">
        <v>341</v>
      </c>
      <c r="L38" s="133">
        <v>304</v>
      </c>
      <c r="M38" s="133">
        <v>345</v>
      </c>
      <c r="N38" s="133">
        <v>390</v>
      </c>
      <c r="O38" s="133">
        <v>397</v>
      </c>
      <c r="P38" s="228">
        <f>SUM(D38:O38)</f>
        <v>4308</v>
      </c>
    </row>
    <row r="39" spans="2:16" x14ac:dyDescent="0.25">
      <c r="B39" s="424"/>
      <c r="C39" s="141" t="s">
        <v>83</v>
      </c>
      <c r="D39" s="133">
        <v>524</v>
      </c>
      <c r="E39" s="133">
        <v>620</v>
      </c>
      <c r="F39" s="133">
        <v>583</v>
      </c>
      <c r="G39" s="133">
        <v>596</v>
      </c>
      <c r="H39" s="133">
        <v>571</v>
      </c>
      <c r="I39" s="133">
        <v>565</v>
      </c>
      <c r="J39" s="133">
        <v>670</v>
      </c>
      <c r="K39" s="133">
        <v>612</v>
      </c>
      <c r="L39" s="133">
        <v>486</v>
      </c>
      <c r="M39" s="133">
        <v>588</v>
      </c>
      <c r="N39" s="133">
        <v>610</v>
      </c>
      <c r="O39" s="133">
        <v>601</v>
      </c>
      <c r="P39" s="228">
        <f t="shared" ref="P39:P42" si="7">SUM(D39:O39)</f>
        <v>7026</v>
      </c>
    </row>
    <row r="40" spans="2:16" x14ac:dyDescent="0.25">
      <c r="B40" s="424"/>
      <c r="C40" s="141" t="s">
        <v>84</v>
      </c>
      <c r="D40" s="133">
        <v>843</v>
      </c>
      <c r="E40" s="133">
        <v>933</v>
      </c>
      <c r="F40" s="133">
        <v>759</v>
      </c>
      <c r="G40" s="133">
        <v>788</v>
      </c>
      <c r="H40" s="133">
        <v>857</v>
      </c>
      <c r="I40" s="133">
        <v>843</v>
      </c>
      <c r="J40" s="133">
        <v>777</v>
      </c>
      <c r="K40" s="133">
        <v>713</v>
      </c>
      <c r="L40" s="133">
        <v>828</v>
      </c>
      <c r="M40" s="133">
        <v>813</v>
      </c>
      <c r="N40" s="133">
        <v>805</v>
      </c>
      <c r="O40" s="133">
        <v>707</v>
      </c>
      <c r="P40" s="228">
        <f t="shared" si="7"/>
        <v>9666</v>
      </c>
    </row>
    <row r="41" spans="2:16" x14ac:dyDescent="0.25">
      <c r="B41" s="424"/>
      <c r="C41" s="141" t="s">
        <v>85</v>
      </c>
      <c r="D41" s="133">
        <v>7071</v>
      </c>
      <c r="E41" s="133">
        <v>7013</v>
      </c>
      <c r="F41" s="133">
        <v>7114</v>
      </c>
      <c r="G41" s="133">
        <v>6817</v>
      </c>
      <c r="H41" s="133">
        <v>6955</v>
      </c>
      <c r="I41" s="133">
        <v>7057</v>
      </c>
      <c r="J41" s="133">
        <v>7321</v>
      </c>
      <c r="K41" s="133">
        <v>7344</v>
      </c>
      <c r="L41" s="133">
        <v>8007</v>
      </c>
      <c r="M41" s="133">
        <v>7460</v>
      </c>
      <c r="N41" s="133">
        <v>7741</v>
      </c>
      <c r="O41" s="133">
        <v>7663</v>
      </c>
      <c r="P41" s="228">
        <f t="shared" si="7"/>
        <v>87563</v>
      </c>
    </row>
    <row r="42" spans="2:16" x14ac:dyDescent="0.25">
      <c r="B42" s="424"/>
      <c r="C42" s="141" t="s">
        <v>86</v>
      </c>
      <c r="D42" s="133">
        <v>34721</v>
      </c>
      <c r="E42" s="133">
        <v>28426</v>
      </c>
      <c r="F42" s="133">
        <v>367235</v>
      </c>
      <c r="G42" s="133">
        <v>31031</v>
      </c>
      <c r="H42" s="133">
        <v>27868</v>
      </c>
      <c r="I42" s="133">
        <v>31728</v>
      </c>
      <c r="J42" s="133">
        <v>31077</v>
      </c>
      <c r="K42" s="133">
        <v>32359</v>
      </c>
      <c r="L42" s="133">
        <v>39836</v>
      </c>
      <c r="M42" s="133">
        <v>39237</v>
      </c>
      <c r="N42" s="133">
        <v>36428</v>
      </c>
      <c r="O42" s="133">
        <v>34267</v>
      </c>
      <c r="P42" s="228">
        <f t="shared" si="7"/>
        <v>734213</v>
      </c>
    </row>
    <row r="43" spans="2:16" x14ac:dyDescent="0.25">
      <c r="B43" s="418" t="s">
        <v>80</v>
      </c>
      <c r="C43" s="418"/>
      <c r="D43" s="143">
        <f>SUM(D38:D42)</f>
        <v>43532</v>
      </c>
      <c r="E43" s="143">
        <f t="shared" ref="E43:O43" si="8">SUM(E38:E42)</f>
        <v>37319</v>
      </c>
      <c r="F43" s="143">
        <f t="shared" si="8"/>
        <v>376061</v>
      </c>
      <c r="G43" s="143">
        <f t="shared" si="8"/>
        <v>39623</v>
      </c>
      <c r="H43" s="143">
        <f t="shared" si="8"/>
        <v>36647</v>
      </c>
      <c r="I43" s="143">
        <f t="shared" si="8"/>
        <v>40538</v>
      </c>
      <c r="J43" s="143">
        <f t="shared" si="8"/>
        <v>40174</v>
      </c>
      <c r="K43" s="143">
        <f t="shared" si="8"/>
        <v>41369</v>
      </c>
      <c r="L43" s="143">
        <f t="shared" si="8"/>
        <v>49461</v>
      </c>
      <c r="M43" s="143">
        <f t="shared" si="8"/>
        <v>48443</v>
      </c>
      <c r="N43" s="143">
        <f t="shared" si="8"/>
        <v>45974</v>
      </c>
      <c r="O43" s="143">
        <f t="shared" si="8"/>
        <v>43635</v>
      </c>
      <c r="P43" s="143">
        <f t="shared" ref="P43:P52" si="9">SUM(D43:O43)</f>
        <v>842776</v>
      </c>
    </row>
    <row r="44" spans="2:16" x14ac:dyDescent="0.25">
      <c r="B44" s="424" t="s">
        <v>87</v>
      </c>
      <c r="C44" s="141" t="s">
        <v>82</v>
      </c>
      <c r="D44" s="133">
        <v>594</v>
      </c>
      <c r="E44" s="133">
        <v>571</v>
      </c>
      <c r="F44" s="133">
        <v>623</v>
      </c>
      <c r="G44" s="133">
        <v>624</v>
      </c>
      <c r="H44" s="133">
        <v>671</v>
      </c>
      <c r="I44" s="133">
        <v>548</v>
      </c>
      <c r="J44" s="133">
        <v>541</v>
      </c>
      <c r="K44" s="133">
        <v>542</v>
      </c>
      <c r="L44" s="133">
        <v>445</v>
      </c>
      <c r="M44" s="133">
        <v>424</v>
      </c>
      <c r="N44" s="133">
        <v>538</v>
      </c>
      <c r="O44" s="133">
        <v>614</v>
      </c>
      <c r="P44" s="228">
        <f t="shared" si="9"/>
        <v>6735</v>
      </c>
    </row>
    <row r="45" spans="2:16" x14ac:dyDescent="0.25">
      <c r="B45" s="424"/>
      <c r="C45" s="141" t="s">
        <v>83</v>
      </c>
      <c r="D45" s="133">
        <v>958</v>
      </c>
      <c r="E45" s="133">
        <v>940</v>
      </c>
      <c r="F45" s="133">
        <v>924</v>
      </c>
      <c r="G45" s="133">
        <v>899</v>
      </c>
      <c r="H45" s="133">
        <v>899</v>
      </c>
      <c r="I45" s="133">
        <v>863</v>
      </c>
      <c r="J45" s="133">
        <v>931</v>
      </c>
      <c r="K45" s="133">
        <v>747</v>
      </c>
      <c r="L45" s="133">
        <v>594</v>
      </c>
      <c r="M45" s="133">
        <v>585</v>
      </c>
      <c r="N45" s="133">
        <v>751</v>
      </c>
      <c r="O45" s="133">
        <v>854</v>
      </c>
      <c r="P45" s="228">
        <f t="shared" si="9"/>
        <v>9945</v>
      </c>
    </row>
    <row r="46" spans="2:16" x14ac:dyDescent="0.25">
      <c r="B46" s="424"/>
      <c r="C46" s="141" t="s">
        <v>84</v>
      </c>
      <c r="D46" s="133">
        <v>1193</v>
      </c>
      <c r="E46" s="133">
        <v>1269</v>
      </c>
      <c r="F46" s="133">
        <v>1337</v>
      </c>
      <c r="G46" s="133">
        <v>1211</v>
      </c>
      <c r="H46" s="133">
        <v>1172</v>
      </c>
      <c r="I46" s="133">
        <v>1205</v>
      </c>
      <c r="J46" s="133">
        <v>846</v>
      </c>
      <c r="K46" s="133">
        <v>1051</v>
      </c>
      <c r="L46" s="133">
        <v>977</v>
      </c>
      <c r="M46" s="133">
        <v>931</v>
      </c>
      <c r="N46" s="133">
        <v>850</v>
      </c>
      <c r="O46" s="133">
        <v>979</v>
      </c>
      <c r="P46" s="228">
        <f t="shared" si="9"/>
        <v>13021</v>
      </c>
    </row>
    <row r="47" spans="2:16" x14ac:dyDescent="0.25">
      <c r="B47" s="424"/>
      <c r="C47" s="141" t="s">
        <v>85</v>
      </c>
      <c r="D47" s="133">
        <v>16373</v>
      </c>
      <c r="E47" s="133">
        <v>16477</v>
      </c>
      <c r="F47" s="133">
        <v>16286</v>
      </c>
      <c r="G47" s="133">
        <v>16463</v>
      </c>
      <c r="H47" s="133">
        <v>15292</v>
      </c>
      <c r="I47" s="133">
        <v>15853</v>
      </c>
      <c r="J47" s="133">
        <v>15804</v>
      </c>
      <c r="K47" s="133">
        <v>14586</v>
      </c>
      <c r="L47" s="133">
        <v>12935</v>
      </c>
      <c r="M47" s="133">
        <v>12704</v>
      </c>
      <c r="N47" s="133">
        <v>13320</v>
      </c>
      <c r="O47" s="133">
        <v>12932</v>
      </c>
      <c r="P47" s="228">
        <f t="shared" si="9"/>
        <v>179025</v>
      </c>
    </row>
    <row r="48" spans="2:16" x14ac:dyDescent="0.25">
      <c r="B48" s="424"/>
      <c r="C48" s="141" t="s">
        <v>86</v>
      </c>
      <c r="D48" s="133">
        <v>665751</v>
      </c>
      <c r="E48" s="133">
        <v>587856</v>
      </c>
      <c r="F48" s="133">
        <v>582119</v>
      </c>
      <c r="G48" s="133">
        <v>637009</v>
      </c>
      <c r="H48" s="133">
        <v>643611</v>
      </c>
      <c r="I48" s="133">
        <v>648636</v>
      </c>
      <c r="J48" s="133">
        <v>707325</v>
      </c>
      <c r="K48" s="133">
        <v>681842</v>
      </c>
      <c r="L48" s="133">
        <v>752707</v>
      </c>
      <c r="M48" s="133">
        <v>805513</v>
      </c>
      <c r="N48" s="133">
        <v>708436</v>
      </c>
      <c r="O48" s="133">
        <v>685510</v>
      </c>
      <c r="P48" s="228">
        <f t="shared" si="9"/>
        <v>8106315</v>
      </c>
    </row>
    <row r="49" spans="2:16" x14ac:dyDescent="0.25">
      <c r="B49" s="418" t="s">
        <v>80</v>
      </c>
      <c r="C49" s="418"/>
      <c r="D49" s="143">
        <f>SUM(D44:D48)</f>
        <v>684869</v>
      </c>
      <c r="E49" s="143">
        <f t="shared" ref="E49:L49" si="10">SUM(E44:E48)</f>
        <v>607113</v>
      </c>
      <c r="F49" s="143">
        <f t="shared" si="10"/>
        <v>601289</v>
      </c>
      <c r="G49" s="143">
        <f t="shared" si="10"/>
        <v>656206</v>
      </c>
      <c r="H49" s="143">
        <f t="shared" si="10"/>
        <v>661645</v>
      </c>
      <c r="I49" s="143">
        <f t="shared" si="10"/>
        <v>667105</v>
      </c>
      <c r="J49" s="143">
        <f t="shared" si="10"/>
        <v>725447</v>
      </c>
      <c r="K49" s="143">
        <f t="shared" si="10"/>
        <v>698768</v>
      </c>
      <c r="L49" s="143">
        <f t="shared" si="10"/>
        <v>767658</v>
      </c>
      <c r="M49" s="143">
        <f>SUM(M44:M48)</f>
        <v>820157</v>
      </c>
      <c r="N49" s="143">
        <f t="shared" ref="N49:O49" si="11">SUM(N44:N48)</f>
        <v>723895</v>
      </c>
      <c r="O49" s="143">
        <f t="shared" si="11"/>
        <v>700889</v>
      </c>
      <c r="P49" s="143">
        <f t="shared" si="9"/>
        <v>8315041</v>
      </c>
    </row>
    <row r="50" spans="2:16" x14ac:dyDescent="0.25">
      <c r="B50" s="418" t="s">
        <v>88</v>
      </c>
      <c r="C50" s="418"/>
      <c r="D50" s="143">
        <f t="shared" ref="D50:L50" si="12">(D24+D31+D37+D43+D49)</f>
        <v>12903768</v>
      </c>
      <c r="E50" s="143">
        <f t="shared" si="12"/>
        <v>11966341</v>
      </c>
      <c r="F50" s="143">
        <f t="shared" si="12"/>
        <v>13022733</v>
      </c>
      <c r="G50" s="143">
        <f t="shared" si="12"/>
        <v>12553424</v>
      </c>
      <c r="H50" s="143">
        <f t="shared" si="12"/>
        <v>12852610</v>
      </c>
      <c r="I50" s="143">
        <f>(I24+I31+I37+I43+I49)</f>
        <v>13092112</v>
      </c>
      <c r="J50" s="143">
        <f t="shared" si="12"/>
        <v>12926560</v>
      </c>
      <c r="K50" s="143">
        <f t="shared" si="12"/>
        <v>12624621</v>
      </c>
      <c r="L50" s="143">
        <f t="shared" si="12"/>
        <v>14426989</v>
      </c>
      <c r="M50" s="143">
        <f>(M24+M31+M37+M43+M49)</f>
        <v>13429865</v>
      </c>
      <c r="N50" s="143">
        <f t="shared" ref="N50" si="13">(N24+N31+N37+N43+N49)</f>
        <v>12720323</v>
      </c>
      <c r="O50" s="143">
        <f>(O24+O31+O37+O43+O49)</f>
        <v>12705287</v>
      </c>
      <c r="P50" s="143">
        <f>P49+P43+P37+P31+P24</f>
        <v>155224633</v>
      </c>
    </row>
    <row r="51" spans="2:16" x14ac:dyDescent="0.25">
      <c r="B51" s="142" t="s">
        <v>89</v>
      </c>
      <c r="C51" s="141"/>
      <c r="D51" s="133">
        <v>84728</v>
      </c>
      <c r="E51" s="133">
        <v>47955</v>
      </c>
      <c r="F51" s="133">
        <v>43580</v>
      </c>
      <c r="G51" s="133">
        <v>41772</v>
      </c>
      <c r="H51" s="133">
        <v>48268</v>
      </c>
      <c r="I51" s="133">
        <v>26880</v>
      </c>
      <c r="J51" s="133">
        <v>21343</v>
      </c>
      <c r="K51" s="133">
        <v>21422</v>
      </c>
      <c r="L51" s="133">
        <v>52360</v>
      </c>
      <c r="M51" s="133">
        <v>78832</v>
      </c>
      <c r="N51" s="133">
        <v>64707</v>
      </c>
      <c r="O51" s="133">
        <v>45779</v>
      </c>
      <c r="P51" s="228">
        <f t="shared" si="9"/>
        <v>577626</v>
      </c>
    </row>
    <row r="52" spans="2:16" x14ac:dyDescent="0.25">
      <c r="B52" s="142" t="s">
        <v>90</v>
      </c>
      <c r="C52" s="141"/>
      <c r="D52" s="133">
        <v>4759</v>
      </c>
      <c r="E52" s="133">
        <v>5012</v>
      </c>
      <c r="F52" s="133">
        <v>2036</v>
      </c>
      <c r="G52" s="133">
        <v>0</v>
      </c>
      <c r="H52" s="133">
        <v>2291</v>
      </c>
      <c r="I52" s="133">
        <v>3568</v>
      </c>
      <c r="J52" s="133">
        <v>6472</v>
      </c>
      <c r="K52" s="133">
        <v>1285</v>
      </c>
      <c r="L52" s="133">
        <v>0</v>
      </c>
      <c r="M52" s="133">
        <v>8339</v>
      </c>
      <c r="N52" s="133">
        <v>0</v>
      </c>
      <c r="O52" s="133">
        <v>0</v>
      </c>
      <c r="P52" s="228">
        <f t="shared" si="9"/>
        <v>33762</v>
      </c>
    </row>
    <row r="53" spans="2:16" x14ac:dyDescent="0.25">
      <c r="B53" s="418" t="s">
        <v>91</v>
      </c>
      <c r="C53" s="418"/>
      <c r="D53" s="143">
        <f>SUM(D51:D52)</f>
        <v>89487</v>
      </c>
      <c r="E53" s="143">
        <f t="shared" ref="E53:L53" si="14">SUM(E51:E52)</f>
        <v>52967</v>
      </c>
      <c r="F53" s="143">
        <f t="shared" si="14"/>
        <v>45616</v>
      </c>
      <c r="G53" s="143">
        <f t="shared" si="14"/>
        <v>41772</v>
      </c>
      <c r="H53" s="143">
        <f t="shared" si="14"/>
        <v>50559</v>
      </c>
      <c r="I53" s="143">
        <f t="shared" si="14"/>
        <v>30448</v>
      </c>
      <c r="J53" s="143">
        <f t="shared" si="14"/>
        <v>27815</v>
      </c>
      <c r="K53" s="143">
        <f t="shared" si="14"/>
        <v>22707</v>
      </c>
      <c r="L53" s="143">
        <f t="shared" si="14"/>
        <v>52360</v>
      </c>
      <c r="M53" s="143">
        <f>SUM(M51:M52)</f>
        <v>87171</v>
      </c>
      <c r="N53" s="143">
        <f t="shared" ref="N53" si="15">SUM(N51:N52)</f>
        <v>64707</v>
      </c>
      <c r="O53" s="143">
        <f>SUM(O51:O52)</f>
        <v>45779</v>
      </c>
      <c r="P53" s="143">
        <f>SUM(D53:O53)</f>
        <v>611388</v>
      </c>
    </row>
    <row r="54" spans="2:16" x14ac:dyDescent="0.25">
      <c r="B54" s="418" t="s">
        <v>92</v>
      </c>
      <c r="C54" s="418"/>
      <c r="D54" s="143">
        <f>D31+D37+D43+D49+D53+D24</f>
        <v>12993255</v>
      </c>
      <c r="E54" s="143">
        <f t="shared" ref="E54:O54" si="16">E31+E37+E43+E49+E53+E24</f>
        <v>12019308</v>
      </c>
      <c r="F54" s="143">
        <f t="shared" si="16"/>
        <v>13068349</v>
      </c>
      <c r="G54" s="143">
        <f t="shared" si="16"/>
        <v>12595196</v>
      </c>
      <c r="H54" s="143">
        <f t="shared" si="16"/>
        <v>12903169</v>
      </c>
      <c r="I54" s="143">
        <f t="shared" si="16"/>
        <v>13122560</v>
      </c>
      <c r="J54" s="143">
        <f t="shared" si="16"/>
        <v>12954375</v>
      </c>
      <c r="K54" s="143">
        <f t="shared" si="16"/>
        <v>12647328</v>
      </c>
      <c r="L54" s="143">
        <f t="shared" si="16"/>
        <v>14479349</v>
      </c>
      <c r="M54" s="143">
        <f t="shared" si="16"/>
        <v>13517036</v>
      </c>
      <c r="N54" s="143">
        <f t="shared" si="16"/>
        <v>12785030</v>
      </c>
      <c r="O54" s="143">
        <f t="shared" si="16"/>
        <v>12751066</v>
      </c>
      <c r="P54" s="143">
        <f>SUM(D54:O54)</f>
        <v>155836021</v>
      </c>
    </row>
    <row r="55" spans="2:16" x14ac:dyDescent="0.25">
      <c r="B55" s="146" t="s">
        <v>30</v>
      </c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</row>
    <row r="56" spans="2:16" x14ac:dyDescent="0.25"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</row>
    <row r="57" spans="2:16" ht="18" x14ac:dyDescent="0.25">
      <c r="B57" s="419" t="s">
        <v>93</v>
      </c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420"/>
      <c r="N57" s="420"/>
      <c r="O57" s="420"/>
      <c r="P57" s="421"/>
    </row>
    <row r="58" spans="2:16" x14ac:dyDescent="0.25">
      <c r="B58" s="144" t="s">
        <v>71</v>
      </c>
      <c r="C58" s="144" t="s">
        <v>72</v>
      </c>
      <c r="D58" s="132">
        <f>D17</f>
        <v>44197</v>
      </c>
      <c r="E58" s="132">
        <f t="shared" ref="E58:O58" si="17">E17</f>
        <v>44228</v>
      </c>
      <c r="F58" s="132">
        <f t="shared" si="17"/>
        <v>44256</v>
      </c>
      <c r="G58" s="132">
        <f t="shared" si="17"/>
        <v>44287</v>
      </c>
      <c r="H58" s="132">
        <f t="shared" si="17"/>
        <v>44317</v>
      </c>
      <c r="I58" s="132">
        <f t="shared" si="17"/>
        <v>44348</v>
      </c>
      <c r="J58" s="132">
        <f t="shared" si="17"/>
        <v>44378</v>
      </c>
      <c r="K58" s="132">
        <f t="shared" si="17"/>
        <v>44409</v>
      </c>
      <c r="L58" s="132">
        <f t="shared" si="17"/>
        <v>44440</v>
      </c>
      <c r="M58" s="132">
        <f t="shared" si="17"/>
        <v>44470</v>
      </c>
      <c r="N58" s="132">
        <f t="shared" si="17"/>
        <v>44501</v>
      </c>
      <c r="O58" s="132">
        <f t="shared" si="17"/>
        <v>44531</v>
      </c>
      <c r="P58" s="132" t="s">
        <v>69</v>
      </c>
    </row>
    <row r="59" spans="2:16" x14ac:dyDescent="0.25">
      <c r="B59" s="422" t="s">
        <v>73</v>
      </c>
      <c r="C59" s="141" t="s">
        <v>74</v>
      </c>
      <c r="D59" s="133">
        <v>1310200.21</v>
      </c>
      <c r="E59" s="133">
        <v>1471345.35</v>
      </c>
      <c r="F59" s="133">
        <v>1330406.06</v>
      </c>
      <c r="G59" s="133">
        <v>1369052.46</v>
      </c>
      <c r="H59" s="133">
        <v>1358707.41</v>
      </c>
      <c r="I59" s="133">
        <v>1341632</v>
      </c>
      <c r="J59" s="133">
        <v>1415792.99</v>
      </c>
      <c r="K59" s="133">
        <v>1497793.35</v>
      </c>
      <c r="L59" s="133">
        <v>1224600.77</v>
      </c>
      <c r="M59" s="133">
        <v>1355055.37</v>
      </c>
      <c r="N59" s="133">
        <v>1459873.58</v>
      </c>
      <c r="O59" s="133">
        <v>1478627.98</v>
      </c>
      <c r="P59" s="227">
        <f>SUM(D59:O59)</f>
        <v>16613087.529999999</v>
      </c>
    </row>
    <row r="60" spans="2:16" x14ac:dyDescent="0.25">
      <c r="B60" s="422"/>
      <c r="C60" s="141" t="s">
        <v>75</v>
      </c>
      <c r="D60" s="133">
        <v>3628762.74</v>
      </c>
      <c r="E60" s="133">
        <v>3634090.49</v>
      </c>
      <c r="F60" s="133">
        <v>3634293.72</v>
      </c>
      <c r="G60" s="133">
        <v>3642845.78</v>
      </c>
      <c r="H60" s="133">
        <v>3638300.14</v>
      </c>
      <c r="I60" s="133">
        <v>3653376.99</v>
      </c>
      <c r="J60" s="133">
        <v>3636430.85</v>
      </c>
      <c r="K60" s="133">
        <v>3583082.25</v>
      </c>
      <c r="L60" s="133">
        <v>3643334.61</v>
      </c>
      <c r="M60" s="133">
        <v>3680330.15</v>
      </c>
      <c r="N60" s="133">
        <v>3664289.09</v>
      </c>
      <c r="O60" s="133">
        <v>3670043</v>
      </c>
      <c r="P60" s="227">
        <f t="shared" ref="P60:P64" si="18">SUM(D60:O60)</f>
        <v>43709179.810000002</v>
      </c>
    </row>
    <row r="61" spans="2:16" x14ac:dyDescent="0.25">
      <c r="B61" s="422"/>
      <c r="C61" s="141" t="s">
        <v>76</v>
      </c>
      <c r="D61" s="133">
        <v>2663927.91</v>
      </c>
      <c r="E61" s="133">
        <v>2232618.8199999998</v>
      </c>
      <c r="F61" s="133">
        <v>2583738.69</v>
      </c>
      <c r="G61" s="133">
        <v>2552157.62</v>
      </c>
      <c r="H61" s="133">
        <v>2585862.44</v>
      </c>
      <c r="I61" s="133">
        <v>2580250.7000000002</v>
      </c>
      <c r="J61" s="133">
        <v>2459308.2999999998</v>
      </c>
      <c r="K61" s="133">
        <v>2280718.21</v>
      </c>
      <c r="L61" s="133">
        <v>2917638.32</v>
      </c>
      <c r="M61" s="133">
        <v>2660966.63</v>
      </c>
      <c r="N61" s="133">
        <v>2445226.42</v>
      </c>
      <c r="O61" s="133">
        <v>2382069.92</v>
      </c>
      <c r="P61" s="227">
        <f t="shared" si="18"/>
        <v>30344483.980000004</v>
      </c>
    </row>
    <row r="62" spans="2:16" x14ac:dyDescent="0.25">
      <c r="B62" s="422"/>
      <c r="C62" s="141" t="s">
        <v>77</v>
      </c>
      <c r="D62" s="133">
        <v>1161122</v>
      </c>
      <c r="E62" s="133">
        <v>868552.91</v>
      </c>
      <c r="F62" s="133">
        <v>1190483.27</v>
      </c>
      <c r="G62" s="133">
        <v>1066226.1200000001</v>
      </c>
      <c r="H62" s="133">
        <v>1149599.3700000001</v>
      </c>
      <c r="I62" s="133">
        <v>1195410.5900000001</v>
      </c>
      <c r="J62" s="133">
        <v>1061311.8799999999</v>
      </c>
      <c r="K62" s="133">
        <v>969317.71</v>
      </c>
      <c r="L62" s="133">
        <v>1495060.81</v>
      </c>
      <c r="M62" s="133">
        <v>1181359.7</v>
      </c>
      <c r="N62" s="133">
        <v>993707.73</v>
      </c>
      <c r="O62" s="133">
        <v>956569.54</v>
      </c>
      <c r="P62" s="227">
        <f t="shared" si="18"/>
        <v>13288721.630000003</v>
      </c>
    </row>
    <row r="63" spans="2:16" x14ac:dyDescent="0.25">
      <c r="B63" s="422"/>
      <c r="C63" s="141" t="s">
        <v>78</v>
      </c>
      <c r="D63" s="133">
        <v>347960.94</v>
      </c>
      <c r="E63" s="133">
        <v>255191.46</v>
      </c>
      <c r="F63" s="133">
        <v>334967.8</v>
      </c>
      <c r="G63" s="133">
        <v>305260.73</v>
      </c>
      <c r="H63" s="133">
        <v>341362.5</v>
      </c>
      <c r="I63" s="133">
        <v>356642.3</v>
      </c>
      <c r="J63" s="133">
        <v>343409.6</v>
      </c>
      <c r="K63" s="133">
        <v>319207.08</v>
      </c>
      <c r="L63" s="133">
        <v>524045.79</v>
      </c>
      <c r="M63" s="133">
        <v>358191.49</v>
      </c>
      <c r="N63" s="133">
        <v>280427.90000000002</v>
      </c>
      <c r="O63" s="133">
        <v>288439.90999999997</v>
      </c>
      <c r="P63" s="227">
        <f t="shared" si="18"/>
        <v>4055107.5000000005</v>
      </c>
    </row>
    <row r="64" spans="2:16" x14ac:dyDescent="0.25">
      <c r="B64" s="422"/>
      <c r="C64" s="141" t="s">
        <v>79</v>
      </c>
      <c r="D64" s="133">
        <v>235305.27</v>
      </c>
      <c r="E64" s="133">
        <v>192653.7</v>
      </c>
      <c r="F64" s="133">
        <v>241176.1</v>
      </c>
      <c r="G64" s="133">
        <v>215267.1</v>
      </c>
      <c r="H64" s="133">
        <v>228804.2</v>
      </c>
      <c r="I64" s="133">
        <v>267269.49</v>
      </c>
      <c r="J64" s="133">
        <v>272970.44</v>
      </c>
      <c r="K64" s="133">
        <v>287425.34000000003</v>
      </c>
      <c r="L64" s="133">
        <v>399122.86</v>
      </c>
      <c r="M64" s="133">
        <v>265591.90000000002</v>
      </c>
      <c r="N64" s="133">
        <v>250840.54</v>
      </c>
      <c r="O64" s="133">
        <v>353214.1</v>
      </c>
      <c r="P64" s="227">
        <f t="shared" si="18"/>
        <v>3209641.04</v>
      </c>
    </row>
    <row r="65" spans="2:16" ht="14.25" customHeight="1" x14ac:dyDescent="0.25">
      <c r="B65" s="423" t="s">
        <v>80</v>
      </c>
      <c r="C65" s="423"/>
      <c r="D65" s="125">
        <f xml:space="preserve"> SUM(D59:D64)</f>
        <v>9347279.0699999984</v>
      </c>
      <c r="E65" s="125">
        <f t="shared" ref="E65:L65" si="19" xml:space="preserve"> SUM(E59:E64)</f>
        <v>8654452.7300000004</v>
      </c>
      <c r="F65" s="125">
        <f t="shared" si="19"/>
        <v>9315065.6400000006</v>
      </c>
      <c r="G65" s="125">
        <f t="shared" si="19"/>
        <v>9150809.8100000005</v>
      </c>
      <c r="H65" s="125">
        <f t="shared" si="19"/>
        <v>9302636.0599999987</v>
      </c>
      <c r="I65" s="125">
        <f t="shared" si="19"/>
        <v>9394582.0700000022</v>
      </c>
      <c r="J65" s="125">
        <f xml:space="preserve"> SUM(J59:J64)</f>
        <v>9189224.0599999987</v>
      </c>
      <c r="K65" s="125">
        <f t="shared" si="19"/>
        <v>8937543.9399999995</v>
      </c>
      <c r="L65" s="125">
        <f t="shared" si="19"/>
        <v>10203803.159999998</v>
      </c>
      <c r="M65" s="125">
        <f xml:space="preserve"> SUM(M59:M64)</f>
        <v>9501495.2400000002</v>
      </c>
      <c r="N65" s="125">
        <f t="shared" ref="N65:O65" si="20" xml:space="preserve"> SUM(N59:N64)</f>
        <v>9094365.2599999998</v>
      </c>
      <c r="O65" s="125">
        <f t="shared" si="20"/>
        <v>9128964.4500000011</v>
      </c>
      <c r="P65" s="125">
        <f>SUM(D65:O65)</f>
        <v>111220221.48999999</v>
      </c>
    </row>
    <row r="66" spans="2:16" x14ac:dyDescent="0.25">
      <c r="B66" s="422" t="s">
        <v>81</v>
      </c>
      <c r="C66" s="141" t="s">
        <v>74</v>
      </c>
      <c r="D66" s="133">
        <v>24907.4</v>
      </c>
      <c r="E66" s="133">
        <v>29461.8</v>
      </c>
      <c r="F66" s="133">
        <v>24247.8</v>
      </c>
      <c r="G66" s="133">
        <v>24449.599999999999</v>
      </c>
      <c r="H66" s="133">
        <v>24531.8</v>
      </c>
      <c r="I66" s="133">
        <v>26137.95</v>
      </c>
      <c r="J66" s="133">
        <v>29979.42</v>
      </c>
      <c r="K66" s="133">
        <v>29892.36</v>
      </c>
      <c r="L66" s="133">
        <v>23883.040000000001</v>
      </c>
      <c r="M66" s="133">
        <v>27809.200000000001</v>
      </c>
      <c r="N66" s="133">
        <v>31882.400000000001</v>
      </c>
      <c r="O66" s="133">
        <v>30742.99</v>
      </c>
      <c r="P66" s="227">
        <f>SUM(D66:O66)</f>
        <v>327925.76000000001</v>
      </c>
    </row>
    <row r="67" spans="2:16" x14ac:dyDescent="0.25">
      <c r="B67" s="422"/>
      <c r="C67" s="141" t="s">
        <v>75</v>
      </c>
      <c r="D67" s="133">
        <v>63572.3</v>
      </c>
      <c r="E67" s="133">
        <v>63265.599999999999</v>
      </c>
      <c r="F67" s="133">
        <v>66474</v>
      </c>
      <c r="G67" s="133">
        <v>67733.2</v>
      </c>
      <c r="H67" s="133">
        <v>69926.3</v>
      </c>
      <c r="I67" s="133">
        <v>74945.509999999995</v>
      </c>
      <c r="J67" s="133">
        <v>75804.3</v>
      </c>
      <c r="K67" s="133">
        <v>74855.360000000001</v>
      </c>
      <c r="L67" s="133">
        <v>78739.05</v>
      </c>
      <c r="M67" s="133">
        <v>76878.64</v>
      </c>
      <c r="N67" s="133">
        <v>74240.52</v>
      </c>
      <c r="O67" s="133">
        <v>77131.520000000004</v>
      </c>
      <c r="P67" s="227">
        <f t="shared" ref="P67:P89" si="21">SUM(D67:O67)</f>
        <v>863566.3</v>
      </c>
    </row>
    <row r="68" spans="2:16" x14ac:dyDescent="0.25">
      <c r="B68" s="422"/>
      <c r="C68" s="141" t="s">
        <v>76</v>
      </c>
      <c r="D68" s="133">
        <v>48658.6</v>
      </c>
      <c r="E68" s="133">
        <v>42442.400000000001</v>
      </c>
      <c r="F68" s="133">
        <v>46844</v>
      </c>
      <c r="G68" s="133">
        <v>47534</v>
      </c>
      <c r="H68" s="133">
        <v>49409.599999999999</v>
      </c>
      <c r="I68" s="133">
        <v>51159.78</v>
      </c>
      <c r="J68" s="133">
        <v>49153.88</v>
      </c>
      <c r="K68" s="133">
        <v>48646.9</v>
      </c>
      <c r="L68" s="133">
        <v>63067.73</v>
      </c>
      <c r="M68" s="133">
        <v>56618.17</v>
      </c>
      <c r="N68" s="133">
        <v>52847.61</v>
      </c>
      <c r="O68" s="133">
        <v>53596.57</v>
      </c>
      <c r="P68" s="227">
        <f t="shared" si="21"/>
        <v>609979.24</v>
      </c>
    </row>
    <row r="69" spans="2:16" x14ac:dyDescent="0.25">
      <c r="B69" s="422"/>
      <c r="C69" s="141" t="s">
        <v>77</v>
      </c>
      <c r="D69" s="133">
        <v>23335</v>
      </c>
      <c r="E69" s="133">
        <v>16945.650000000001</v>
      </c>
      <c r="F69" s="133">
        <v>21963.200000000001</v>
      </c>
      <c r="G69" s="133">
        <v>20480</v>
      </c>
      <c r="H69" s="133">
        <v>21204.6</v>
      </c>
      <c r="I69" s="133">
        <v>23526.6</v>
      </c>
      <c r="J69" s="133">
        <v>21916.58</v>
      </c>
      <c r="K69" s="133">
        <v>19274.990000000002</v>
      </c>
      <c r="L69" s="133">
        <v>33332.199999999997</v>
      </c>
      <c r="M69" s="133">
        <v>27940.2</v>
      </c>
      <c r="N69" s="133">
        <v>24678.39</v>
      </c>
      <c r="O69" s="133">
        <v>24156.79</v>
      </c>
      <c r="P69" s="227">
        <f t="shared" si="21"/>
        <v>278754.2</v>
      </c>
    </row>
    <row r="70" spans="2:16" x14ac:dyDescent="0.25">
      <c r="B70" s="422"/>
      <c r="C70" s="141" t="s">
        <v>78</v>
      </c>
      <c r="D70" s="133">
        <v>6319.8</v>
      </c>
      <c r="E70" s="133">
        <v>4716.3999999999996</v>
      </c>
      <c r="F70" s="133">
        <v>5175.3999999999996</v>
      </c>
      <c r="G70" s="133">
        <v>5287</v>
      </c>
      <c r="H70" s="133">
        <v>5350</v>
      </c>
      <c r="I70" s="133">
        <v>5576.8</v>
      </c>
      <c r="J70" s="133">
        <v>4782.3999999999996</v>
      </c>
      <c r="K70" s="133">
        <v>5050.6000000000004</v>
      </c>
      <c r="L70" s="133">
        <v>9155.4</v>
      </c>
      <c r="M70" s="133">
        <v>7163.4</v>
      </c>
      <c r="N70" s="133">
        <v>6246.6</v>
      </c>
      <c r="O70" s="133">
        <v>6490.17</v>
      </c>
      <c r="P70" s="227">
        <f t="shared" si="21"/>
        <v>71313.97</v>
      </c>
    </row>
    <row r="71" spans="2:16" x14ac:dyDescent="0.25">
      <c r="B71" s="422"/>
      <c r="C71" s="141" t="s">
        <v>79</v>
      </c>
      <c r="D71" s="133">
        <v>3779.8</v>
      </c>
      <c r="E71" s="133">
        <v>3509.4</v>
      </c>
      <c r="F71" s="133">
        <v>5831</v>
      </c>
      <c r="G71" s="133">
        <v>4610.2</v>
      </c>
      <c r="H71" s="133">
        <v>4267.2</v>
      </c>
      <c r="I71" s="133">
        <v>4608.2</v>
      </c>
      <c r="J71" s="133">
        <v>3992.4</v>
      </c>
      <c r="K71" s="133">
        <v>3304.8</v>
      </c>
      <c r="L71" s="133">
        <v>3864.4</v>
      </c>
      <c r="M71" s="133">
        <v>3999.8</v>
      </c>
      <c r="N71" s="133">
        <v>4327.3999999999996</v>
      </c>
      <c r="O71" s="133">
        <v>4447.3999999999996</v>
      </c>
      <c r="P71" s="227">
        <f t="shared" si="21"/>
        <v>50542.000000000015</v>
      </c>
    </row>
    <row r="72" spans="2:16" x14ac:dyDescent="0.25">
      <c r="B72" s="418" t="s">
        <v>80</v>
      </c>
      <c r="C72" s="418"/>
      <c r="D72" s="143">
        <f>SUM(D66:D71)</f>
        <v>170572.9</v>
      </c>
      <c r="E72" s="143">
        <f t="shared" ref="E72:O72" si="22">SUM(E66:E71)</f>
        <v>160341.24999999997</v>
      </c>
      <c r="F72" s="143">
        <f t="shared" si="22"/>
        <v>170535.4</v>
      </c>
      <c r="G72" s="143">
        <f t="shared" si="22"/>
        <v>170094</v>
      </c>
      <c r="H72" s="143">
        <f t="shared" si="22"/>
        <v>174689.50000000003</v>
      </c>
      <c r="I72" s="143">
        <f t="shared" si="22"/>
        <v>185954.84</v>
      </c>
      <c r="J72" s="143">
        <f>SUM(J66:J71)</f>
        <v>185628.97999999998</v>
      </c>
      <c r="K72" s="143">
        <f t="shared" si="22"/>
        <v>181025.00999999998</v>
      </c>
      <c r="L72" s="143">
        <f t="shared" si="22"/>
        <v>212041.82</v>
      </c>
      <c r="M72" s="143">
        <f t="shared" si="22"/>
        <v>200409.41</v>
      </c>
      <c r="N72" s="143">
        <f t="shared" si="22"/>
        <v>194222.92000000004</v>
      </c>
      <c r="O72" s="143">
        <f t="shared" si="22"/>
        <v>196565.44000000003</v>
      </c>
      <c r="P72" s="143">
        <f>SUM(D72:O72)</f>
        <v>2202081.4699999997</v>
      </c>
    </row>
    <row r="73" spans="2:16" x14ac:dyDescent="0.25">
      <c r="B73" s="424" t="s">
        <v>48</v>
      </c>
      <c r="C73" s="141" t="s">
        <v>82</v>
      </c>
      <c r="D73" s="133">
        <v>37794.9</v>
      </c>
      <c r="E73" s="133">
        <v>38298.69</v>
      </c>
      <c r="F73" s="133">
        <v>38798.03</v>
      </c>
      <c r="G73" s="133">
        <v>39603.06</v>
      </c>
      <c r="H73" s="133">
        <v>38641.870000000003</v>
      </c>
      <c r="I73" s="133">
        <v>38051.86</v>
      </c>
      <c r="J73" s="133">
        <v>38505</v>
      </c>
      <c r="K73" s="133">
        <v>38985.360000000001</v>
      </c>
      <c r="L73" s="133">
        <v>37283.550000000003</v>
      </c>
      <c r="M73" s="133">
        <v>38037.449999999997</v>
      </c>
      <c r="N73" s="133">
        <v>38969.21</v>
      </c>
      <c r="O73" s="133">
        <v>38826.53</v>
      </c>
      <c r="P73" s="227">
        <f t="shared" si="21"/>
        <v>461795.51</v>
      </c>
    </row>
    <row r="74" spans="2:16" x14ac:dyDescent="0.25">
      <c r="B74" s="424"/>
      <c r="C74" s="141" t="s">
        <v>83</v>
      </c>
      <c r="D74" s="133">
        <v>41563.910000000003</v>
      </c>
      <c r="E74" s="133">
        <v>42043.49</v>
      </c>
      <c r="F74" s="133">
        <v>40937.11</v>
      </c>
      <c r="G74" s="133">
        <v>40487.230000000003</v>
      </c>
      <c r="H74" s="133">
        <v>42158.12</v>
      </c>
      <c r="I74" s="133">
        <v>41461.4</v>
      </c>
      <c r="J74" s="133">
        <v>42792.08</v>
      </c>
      <c r="K74" s="133">
        <v>43076.480000000003</v>
      </c>
      <c r="L74" s="133">
        <v>42378.48</v>
      </c>
      <c r="M74" s="133">
        <v>43464.5</v>
      </c>
      <c r="N74" s="133">
        <v>43557.39</v>
      </c>
      <c r="O74" s="133">
        <v>43797.279999999999</v>
      </c>
      <c r="P74" s="227">
        <f t="shared" si="21"/>
        <v>507717.47</v>
      </c>
    </row>
    <row r="75" spans="2:16" x14ac:dyDescent="0.25">
      <c r="B75" s="424"/>
      <c r="C75" s="141" t="s">
        <v>84</v>
      </c>
      <c r="D75" s="133">
        <v>43934.83</v>
      </c>
      <c r="E75" s="133">
        <v>43321.68</v>
      </c>
      <c r="F75" s="133">
        <v>41460.93</v>
      </c>
      <c r="G75" s="133">
        <v>41722.9</v>
      </c>
      <c r="H75" s="133">
        <v>43808.15</v>
      </c>
      <c r="I75" s="133">
        <v>45436.46</v>
      </c>
      <c r="J75" s="133">
        <v>45885.65</v>
      </c>
      <c r="K75" s="133">
        <v>45895.14</v>
      </c>
      <c r="L75" s="133">
        <v>45257.79</v>
      </c>
      <c r="M75" s="133">
        <v>45713.08</v>
      </c>
      <c r="N75" s="133">
        <v>45380.3</v>
      </c>
      <c r="O75" s="133">
        <v>43869.5</v>
      </c>
      <c r="P75" s="227">
        <f t="shared" si="21"/>
        <v>531686.40999999992</v>
      </c>
    </row>
    <row r="76" spans="2:16" x14ac:dyDescent="0.25">
      <c r="B76" s="424"/>
      <c r="C76" s="141" t="s">
        <v>85</v>
      </c>
      <c r="D76" s="133">
        <v>207259.14</v>
      </c>
      <c r="E76" s="133">
        <v>204476.82</v>
      </c>
      <c r="F76" s="133">
        <v>205842.24</v>
      </c>
      <c r="G76" s="133">
        <v>194148.41</v>
      </c>
      <c r="H76" s="133">
        <v>211382.05</v>
      </c>
      <c r="I76" s="133">
        <v>216122.8</v>
      </c>
      <c r="J76" s="133">
        <v>217728.39</v>
      </c>
      <c r="K76" s="133">
        <v>211276.49</v>
      </c>
      <c r="L76" s="133">
        <v>239909.3</v>
      </c>
      <c r="M76" s="133">
        <v>229495.24</v>
      </c>
      <c r="N76" s="133">
        <v>218944.2</v>
      </c>
      <c r="O76" s="133">
        <v>219956.03</v>
      </c>
      <c r="P76" s="227">
        <f t="shared" si="21"/>
        <v>2576541.11</v>
      </c>
    </row>
    <row r="77" spans="2:16" x14ac:dyDescent="0.25">
      <c r="B77" s="424"/>
      <c r="C77" s="141" t="s">
        <v>86</v>
      </c>
      <c r="D77" s="133">
        <v>607427.76</v>
      </c>
      <c r="E77" s="133">
        <v>594132.71</v>
      </c>
      <c r="F77" s="133">
        <v>588729.15</v>
      </c>
      <c r="G77" s="133">
        <v>519328.63</v>
      </c>
      <c r="H77" s="133">
        <v>602776.1</v>
      </c>
      <c r="I77" s="133">
        <v>630999.86</v>
      </c>
      <c r="J77" s="133">
        <v>653069.49</v>
      </c>
      <c r="K77" s="133">
        <v>636996.85</v>
      </c>
      <c r="L77" s="133">
        <v>746946.81</v>
      </c>
      <c r="M77" s="133">
        <v>694480.88</v>
      </c>
      <c r="N77" s="133">
        <v>668133.79</v>
      </c>
      <c r="O77" s="133">
        <v>672521.43</v>
      </c>
      <c r="P77" s="227">
        <f t="shared" si="21"/>
        <v>7615543.459999999</v>
      </c>
    </row>
    <row r="78" spans="2:16" x14ac:dyDescent="0.25">
      <c r="B78" s="418" t="s">
        <v>80</v>
      </c>
      <c r="C78" s="418"/>
      <c r="D78" s="143">
        <f>SUM(D73:D77)</f>
        <v>937980.54</v>
      </c>
      <c r="E78" s="143">
        <f>SUM(E73:E77)</f>
        <v>922273.3899999999</v>
      </c>
      <c r="F78" s="143">
        <f>SUM(F73:F77)</f>
        <v>915767.46</v>
      </c>
      <c r="G78" s="143">
        <f>SUM(G73:G77)</f>
        <v>835290.23</v>
      </c>
      <c r="H78" s="143">
        <f t="shared" ref="H78:O78" si="23">SUM(H73:H77)</f>
        <v>938766.29</v>
      </c>
      <c r="I78" s="143">
        <f t="shared" si="23"/>
        <v>972072.38</v>
      </c>
      <c r="J78" s="143">
        <f>SUM(J73:J77)</f>
        <v>997980.61</v>
      </c>
      <c r="K78" s="143">
        <f t="shared" si="23"/>
        <v>976230.32</v>
      </c>
      <c r="L78" s="143">
        <f t="shared" si="23"/>
        <v>1111775.9300000002</v>
      </c>
      <c r="M78" s="143">
        <f t="shared" si="23"/>
        <v>1051191.1499999999</v>
      </c>
      <c r="N78" s="143">
        <f t="shared" si="23"/>
        <v>1014984.8900000001</v>
      </c>
      <c r="O78" s="143">
        <f t="shared" si="23"/>
        <v>1018970.77</v>
      </c>
      <c r="P78" s="143">
        <f>SUM(D78:O78)</f>
        <v>11693283.960000001</v>
      </c>
    </row>
    <row r="79" spans="2:16" x14ac:dyDescent="0.25">
      <c r="B79" s="424" t="s">
        <v>49</v>
      </c>
      <c r="C79" s="141" t="s">
        <v>82</v>
      </c>
      <c r="D79" s="133">
        <v>308.10000000000002</v>
      </c>
      <c r="E79" s="133">
        <v>254.1</v>
      </c>
      <c r="F79" s="133">
        <v>322.39999999999998</v>
      </c>
      <c r="G79" s="133">
        <v>319.5</v>
      </c>
      <c r="H79" s="133">
        <v>327.60000000000002</v>
      </c>
      <c r="I79" s="133">
        <v>277.5</v>
      </c>
      <c r="J79" s="133">
        <v>276.10000000000002</v>
      </c>
      <c r="K79" s="133">
        <v>278.39999999999998</v>
      </c>
      <c r="L79" s="133">
        <v>255.3</v>
      </c>
      <c r="M79" s="133">
        <v>292.7</v>
      </c>
      <c r="N79" s="133">
        <v>300.89999999999998</v>
      </c>
      <c r="O79" s="133">
        <v>317.3</v>
      </c>
      <c r="P79" s="227">
        <f t="shared" si="21"/>
        <v>3529.9</v>
      </c>
    </row>
    <row r="80" spans="2:16" x14ac:dyDescent="0.25">
      <c r="B80" s="424"/>
      <c r="C80" s="141" t="s">
        <v>83</v>
      </c>
      <c r="D80" s="133">
        <v>434</v>
      </c>
      <c r="E80" s="133">
        <v>541.70000000000005</v>
      </c>
      <c r="F80" s="133">
        <v>459.2</v>
      </c>
      <c r="G80" s="133">
        <v>501.3</v>
      </c>
      <c r="H80" s="133">
        <v>453.8</v>
      </c>
      <c r="I80" s="133">
        <v>458.3</v>
      </c>
      <c r="J80" s="133">
        <v>524.29999999999995</v>
      </c>
      <c r="K80" s="133">
        <v>500.2</v>
      </c>
      <c r="L80" s="133">
        <v>392.9</v>
      </c>
      <c r="M80" s="133">
        <v>467.5</v>
      </c>
      <c r="N80" s="133">
        <v>483</v>
      </c>
      <c r="O80" s="133">
        <v>498</v>
      </c>
      <c r="P80" s="227">
        <f t="shared" si="21"/>
        <v>5714.2</v>
      </c>
    </row>
    <row r="81" spans="2:18" x14ac:dyDescent="0.25">
      <c r="B81" s="424"/>
      <c r="C81" s="141" t="s">
        <v>84</v>
      </c>
      <c r="D81" s="133">
        <v>738.2</v>
      </c>
      <c r="E81" s="133">
        <v>780.9</v>
      </c>
      <c r="F81" s="133">
        <v>667.3</v>
      </c>
      <c r="G81" s="133">
        <v>685.78</v>
      </c>
      <c r="H81" s="133">
        <v>697.5</v>
      </c>
      <c r="I81" s="133">
        <v>722.8</v>
      </c>
      <c r="J81" s="133">
        <v>661</v>
      </c>
      <c r="K81" s="133">
        <v>614.4</v>
      </c>
      <c r="L81" s="133">
        <v>691.8</v>
      </c>
      <c r="M81" s="133">
        <v>693.7</v>
      </c>
      <c r="N81" s="133">
        <v>666.3</v>
      </c>
      <c r="O81" s="133">
        <v>539.79999999999995</v>
      </c>
      <c r="P81" s="227">
        <f t="shared" si="21"/>
        <v>8159.48</v>
      </c>
    </row>
    <row r="82" spans="2:18" x14ac:dyDescent="0.25">
      <c r="B82" s="424"/>
      <c r="C82" s="141" t="s">
        <v>85</v>
      </c>
      <c r="D82" s="133">
        <v>5578.8</v>
      </c>
      <c r="E82" s="133">
        <v>5526</v>
      </c>
      <c r="F82" s="133">
        <v>5583.3</v>
      </c>
      <c r="G82" s="133">
        <v>5476.9</v>
      </c>
      <c r="H82" s="133">
        <v>5598.4</v>
      </c>
      <c r="I82" s="133">
        <v>5764.4</v>
      </c>
      <c r="J82" s="133">
        <v>5825.1</v>
      </c>
      <c r="K82" s="133">
        <v>5892.18</v>
      </c>
      <c r="L82" s="133">
        <v>6446.83</v>
      </c>
      <c r="M82" s="133">
        <v>6019</v>
      </c>
      <c r="N82" s="133">
        <v>6318.1</v>
      </c>
      <c r="O82" s="133">
        <v>6210.62</v>
      </c>
      <c r="P82" s="227">
        <f t="shared" si="21"/>
        <v>70239.63</v>
      </c>
    </row>
    <row r="83" spans="2:18" x14ac:dyDescent="0.25">
      <c r="B83" s="424"/>
      <c r="C83" s="141" t="s">
        <v>86</v>
      </c>
      <c r="D83" s="133">
        <v>29679.599999999999</v>
      </c>
      <c r="E83" s="133">
        <v>23509.8</v>
      </c>
      <c r="F83" s="133">
        <v>857891.88</v>
      </c>
      <c r="G83" s="133">
        <v>22592.3</v>
      </c>
      <c r="H83" s="133">
        <v>23303.93</v>
      </c>
      <c r="I83" s="133">
        <v>26962.59</v>
      </c>
      <c r="J83" s="133">
        <v>27088.85</v>
      </c>
      <c r="K83" s="133">
        <v>29401.39</v>
      </c>
      <c r="L83" s="133">
        <v>35277.870000000003</v>
      </c>
      <c r="M83" s="133">
        <v>36662.199999999997</v>
      </c>
      <c r="N83" s="133">
        <v>33611.25</v>
      </c>
      <c r="O83" s="133">
        <v>31136.62</v>
      </c>
      <c r="P83" s="227">
        <f t="shared" si="21"/>
        <v>1177118.2800000003</v>
      </c>
    </row>
    <row r="84" spans="2:18" x14ac:dyDescent="0.25">
      <c r="B84" s="418" t="s">
        <v>80</v>
      </c>
      <c r="C84" s="418"/>
      <c r="D84" s="143">
        <f>SUM(D79:D83)</f>
        <v>36738.699999999997</v>
      </c>
      <c r="E84" s="143">
        <f t="shared" ref="E84:O84" si="24">SUM(E79:E83)</f>
        <v>30612.5</v>
      </c>
      <c r="F84" s="143">
        <f t="shared" si="24"/>
        <v>864924.08</v>
      </c>
      <c r="G84" s="143">
        <f t="shared" si="24"/>
        <v>29575.78</v>
      </c>
      <c r="H84" s="143">
        <f t="shared" si="24"/>
        <v>30381.23</v>
      </c>
      <c r="I84" s="143">
        <f t="shared" si="24"/>
        <v>34185.589999999997</v>
      </c>
      <c r="J84" s="143">
        <f>SUM(J79:J83)</f>
        <v>34375.35</v>
      </c>
      <c r="K84" s="143">
        <f t="shared" si="24"/>
        <v>36686.57</v>
      </c>
      <c r="L84" s="143">
        <f t="shared" si="24"/>
        <v>43064.700000000004</v>
      </c>
      <c r="M84" s="143">
        <f t="shared" si="24"/>
        <v>44135.1</v>
      </c>
      <c r="N84" s="143">
        <f t="shared" si="24"/>
        <v>41379.550000000003</v>
      </c>
      <c r="O84" s="143">
        <f t="shared" si="24"/>
        <v>38702.339999999997</v>
      </c>
      <c r="P84" s="143">
        <f>SUM(D84:O84)</f>
        <v>1264761.4900000002</v>
      </c>
    </row>
    <row r="85" spans="2:18" x14ac:dyDescent="0.25">
      <c r="B85" s="424" t="s">
        <v>87</v>
      </c>
      <c r="C85" s="141" t="s">
        <v>82</v>
      </c>
      <c r="D85" s="133">
        <v>458.4</v>
      </c>
      <c r="E85" s="133">
        <v>450.8</v>
      </c>
      <c r="F85" s="133">
        <v>493</v>
      </c>
      <c r="G85" s="133">
        <v>505.2</v>
      </c>
      <c r="H85" s="133">
        <v>546.6</v>
      </c>
      <c r="I85" s="133">
        <v>438</v>
      </c>
      <c r="J85" s="133">
        <v>417.2</v>
      </c>
      <c r="K85" s="133">
        <v>429.9</v>
      </c>
      <c r="L85" s="133">
        <v>344.8</v>
      </c>
      <c r="M85" s="133">
        <v>327.5</v>
      </c>
      <c r="N85" s="133">
        <v>437.4</v>
      </c>
      <c r="O85" s="133">
        <v>477.2</v>
      </c>
      <c r="P85" s="227">
        <f t="shared" si="21"/>
        <v>5325.9999999999991</v>
      </c>
    </row>
    <row r="86" spans="2:18" customFormat="1" x14ac:dyDescent="0.25">
      <c r="B86" s="424"/>
      <c r="C86" s="141" t="s">
        <v>83</v>
      </c>
      <c r="D86" s="133">
        <v>789.8</v>
      </c>
      <c r="E86" s="133">
        <v>765</v>
      </c>
      <c r="F86" s="133">
        <v>752.8</v>
      </c>
      <c r="G86" s="133">
        <v>729.8</v>
      </c>
      <c r="H86" s="133">
        <v>721.4</v>
      </c>
      <c r="I86" s="133">
        <v>697.6</v>
      </c>
      <c r="J86" s="133">
        <v>3238.87</v>
      </c>
      <c r="K86" s="133">
        <v>576.6</v>
      </c>
      <c r="L86" s="133">
        <v>499.6</v>
      </c>
      <c r="M86" s="133">
        <v>484</v>
      </c>
      <c r="N86" s="133">
        <v>573.9</v>
      </c>
      <c r="O86" s="133">
        <v>694.2</v>
      </c>
      <c r="P86" s="227">
        <f t="shared" si="21"/>
        <v>10523.57</v>
      </c>
    </row>
    <row r="87" spans="2:18" customFormat="1" x14ac:dyDescent="0.25">
      <c r="B87" s="424"/>
      <c r="C87" s="141" t="s">
        <v>84</v>
      </c>
      <c r="D87" s="133">
        <v>985.2</v>
      </c>
      <c r="E87" s="133">
        <v>1042.2</v>
      </c>
      <c r="F87" s="133">
        <v>1109.5999999999999</v>
      </c>
      <c r="G87" s="133">
        <v>984.2</v>
      </c>
      <c r="H87" s="133">
        <v>970.8</v>
      </c>
      <c r="I87" s="133">
        <v>911</v>
      </c>
      <c r="J87" s="133">
        <v>674</v>
      </c>
      <c r="K87" s="133">
        <v>798</v>
      </c>
      <c r="L87" s="133">
        <v>696.8</v>
      </c>
      <c r="M87" s="133">
        <v>744.6</v>
      </c>
      <c r="N87" s="133">
        <v>606.6</v>
      </c>
      <c r="O87" s="133">
        <v>781.2</v>
      </c>
      <c r="P87" s="227">
        <f t="shared" si="21"/>
        <v>10304.200000000001</v>
      </c>
    </row>
    <row r="88" spans="2:18" customFormat="1" x14ac:dyDescent="0.25">
      <c r="B88" s="424"/>
      <c r="C88" s="141" t="s">
        <v>85</v>
      </c>
      <c r="D88" s="133">
        <v>13965.8</v>
      </c>
      <c r="E88" s="133">
        <v>14193.8</v>
      </c>
      <c r="F88" s="133">
        <v>15152.82</v>
      </c>
      <c r="G88" s="133">
        <v>18325.759999999998</v>
      </c>
      <c r="H88" s="133">
        <v>13290.6</v>
      </c>
      <c r="I88" s="133">
        <v>15871.64</v>
      </c>
      <c r="J88" s="133">
        <v>13353.4</v>
      </c>
      <c r="K88" s="133">
        <v>13838.14</v>
      </c>
      <c r="L88" s="133">
        <v>12178.38</v>
      </c>
      <c r="M88" s="133">
        <v>10852.6</v>
      </c>
      <c r="N88" s="133">
        <v>11413</v>
      </c>
      <c r="O88" s="133">
        <v>11125</v>
      </c>
      <c r="P88" s="227">
        <f t="shared" si="21"/>
        <v>163560.94</v>
      </c>
    </row>
    <row r="89" spans="2:18" customFormat="1" x14ac:dyDescent="0.25">
      <c r="B89" s="424"/>
      <c r="C89" s="141" t="s">
        <v>86</v>
      </c>
      <c r="D89" s="133">
        <v>643958.36</v>
      </c>
      <c r="E89" s="133">
        <v>564076.43999999994</v>
      </c>
      <c r="F89" s="133">
        <v>558603.39</v>
      </c>
      <c r="G89" s="133">
        <v>607978.59</v>
      </c>
      <c r="H89" s="133">
        <v>610242.64</v>
      </c>
      <c r="I89" s="133">
        <v>612562.76</v>
      </c>
      <c r="J89" s="133">
        <v>670016.62</v>
      </c>
      <c r="K89" s="133">
        <v>652878.98</v>
      </c>
      <c r="L89" s="133">
        <v>721786.96</v>
      </c>
      <c r="M89" s="133">
        <v>768947.19999999995</v>
      </c>
      <c r="N89" s="133">
        <v>665946.78</v>
      </c>
      <c r="O89" s="133">
        <v>643745.77</v>
      </c>
      <c r="P89" s="227">
        <f t="shared" si="21"/>
        <v>7720744.4900000002</v>
      </c>
      <c r="Q89" s="114"/>
    </row>
    <row r="90" spans="2:18" customFormat="1" x14ac:dyDescent="0.25">
      <c r="B90" s="427" t="s">
        <v>80</v>
      </c>
      <c r="C90" s="428"/>
      <c r="D90" s="143">
        <f>SUM(D85:D89)</f>
        <v>660157.55999999994</v>
      </c>
      <c r="E90" s="143">
        <f t="shared" ref="E90:O90" si="25">SUM(E85:E89)</f>
        <v>580528.24</v>
      </c>
      <c r="F90" s="143">
        <f t="shared" si="25"/>
        <v>576111.61</v>
      </c>
      <c r="G90" s="143">
        <f t="shared" si="25"/>
        <v>628523.54999999993</v>
      </c>
      <c r="H90" s="143">
        <f t="shared" si="25"/>
        <v>625772.04</v>
      </c>
      <c r="I90" s="143">
        <f t="shared" si="25"/>
        <v>630481</v>
      </c>
      <c r="J90" s="143">
        <f>SUM(J85:J89)</f>
        <v>687700.09</v>
      </c>
      <c r="K90" s="143">
        <f t="shared" si="25"/>
        <v>668521.62</v>
      </c>
      <c r="L90" s="143">
        <f t="shared" si="25"/>
        <v>735506.53999999992</v>
      </c>
      <c r="M90" s="143">
        <f t="shared" si="25"/>
        <v>781355.89999999991</v>
      </c>
      <c r="N90" s="143">
        <f t="shared" si="25"/>
        <v>678977.68</v>
      </c>
      <c r="O90" s="143">
        <f t="shared" si="25"/>
        <v>656823.37</v>
      </c>
      <c r="P90" s="143">
        <f>SUM(D90:O90)</f>
        <v>7910459.2000000002</v>
      </c>
      <c r="Q90" s="39"/>
    </row>
    <row r="91" spans="2:18" customFormat="1" x14ac:dyDescent="0.25">
      <c r="B91" s="427" t="s">
        <v>88</v>
      </c>
      <c r="C91" s="428"/>
      <c r="D91" s="143">
        <f>D65+D72+D78+D84+D90</f>
        <v>11152728.769999998</v>
      </c>
      <c r="E91" s="143">
        <f t="shared" ref="E91:O91" si="26">E65+E72+E78+E84+E90</f>
        <v>10348208.110000001</v>
      </c>
      <c r="F91" s="143">
        <f t="shared" si="26"/>
        <v>11842404.189999999</v>
      </c>
      <c r="G91" s="143">
        <f t="shared" si="26"/>
        <v>10814293.370000001</v>
      </c>
      <c r="H91" s="143">
        <f t="shared" si="26"/>
        <v>11072245.119999997</v>
      </c>
      <c r="I91" s="143">
        <f t="shared" si="26"/>
        <v>11217275.880000003</v>
      </c>
      <c r="J91" s="143">
        <f t="shared" si="26"/>
        <v>11094909.089999998</v>
      </c>
      <c r="K91" s="143">
        <f t="shared" si="26"/>
        <v>10800007.459999999</v>
      </c>
      <c r="L91" s="143">
        <f t="shared" si="26"/>
        <v>12306192.149999997</v>
      </c>
      <c r="M91" s="143">
        <f t="shared" si="26"/>
        <v>11578586.800000001</v>
      </c>
      <c r="N91" s="143">
        <f t="shared" si="26"/>
        <v>11023930.300000001</v>
      </c>
      <c r="O91" s="143">
        <f t="shared" si="26"/>
        <v>11040026.369999999</v>
      </c>
      <c r="P91" s="143">
        <f>SUM(D91:O91)</f>
        <v>134290807.60999998</v>
      </c>
      <c r="Q91" s="39"/>
      <c r="R91" s="34"/>
    </row>
    <row r="92" spans="2:18" customFormat="1" x14ac:dyDescent="0.25">
      <c r="B92" s="146" t="s">
        <v>30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4"/>
    </row>
    <row r="93" spans="2:18" customFormat="1" x14ac:dyDescent="0.25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4"/>
    </row>
    <row r="94" spans="2:18" customFormat="1" ht="15.75" x14ac:dyDescent="0.25">
      <c r="B94" s="419" t="s">
        <v>94</v>
      </c>
      <c r="C94" s="420"/>
      <c r="D94" s="420"/>
      <c r="E94" s="420"/>
      <c r="F94" s="420"/>
      <c r="G94" s="420"/>
      <c r="H94" s="420"/>
      <c r="I94" s="420"/>
      <c r="J94" s="420"/>
      <c r="K94" s="420"/>
      <c r="L94" s="420"/>
      <c r="M94" s="420"/>
      <c r="N94" s="420"/>
      <c r="O94" s="420"/>
      <c r="P94" s="421"/>
      <c r="Q94" s="39"/>
      <c r="R94" s="34"/>
    </row>
    <row r="95" spans="2:18" customFormat="1" x14ac:dyDescent="0.25">
      <c r="B95" s="144" t="s">
        <v>71</v>
      </c>
      <c r="C95" s="144" t="s">
        <v>72</v>
      </c>
      <c r="D95" s="132">
        <v>44197</v>
      </c>
      <c r="E95" s="132">
        <v>44228</v>
      </c>
      <c r="F95" s="132">
        <v>44256</v>
      </c>
      <c r="G95" s="132">
        <v>44287</v>
      </c>
      <c r="H95" s="132">
        <v>44317</v>
      </c>
      <c r="I95" s="132">
        <v>44348</v>
      </c>
      <c r="J95" s="132">
        <v>44378</v>
      </c>
      <c r="K95" s="132">
        <v>44409</v>
      </c>
      <c r="L95" s="132">
        <v>44440</v>
      </c>
      <c r="M95" s="132">
        <v>44470</v>
      </c>
      <c r="N95" s="132">
        <v>44501</v>
      </c>
      <c r="O95" s="132">
        <v>44531</v>
      </c>
      <c r="P95" s="132" t="s">
        <v>69</v>
      </c>
      <c r="Q95" s="39"/>
      <c r="R95" s="34"/>
    </row>
    <row r="96" spans="2:18" customFormat="1" x14ac:dyDescent="0.25">
      <c r="B96" s="422" t="s">
        <v>73</v>
      </c>
      <c r="C96" s="141" t="s">
        <v>74</v>
      </c>
      <c r="D96" s="209">
        <f>+D18+D59</f>
        <v>2764213.21</v>
      </c>
      <c r="E96" s="209">
        <f t="shared" ref="E96:O96" si="27">+E18+E59</f>
        <v>3101365.35</v>
      </c>
      <c r="F96" s="209">
        <f t="shared" si="27"/>
        <v>2805819.06</v>
      </c>
      <c r="G96" s="209">
        <f t="shared" si="27"/>
        <v>2881420.46</v>
      </c>
      <c r="H96" s="209">
        <f t="shared" si="27"/>
        <v>2860109.41</v>
      </c>
      <c r="I96" s="209">
        <f t="shared" si="27"/>
        <v>2820229</v>
      </c>
      <c r="J96" s="209">
        <f t="shared" si="27"/>
        <v>2976290.99</v>
      </c>
      <c r="K96" s="209">
        <f t="shared" si="27"/>
        <v>3144357.35</v>
      </c>
      <c r="L96" s="209">
        <f t="shared" si="27"/>
        <v>2568087.77</v>
      </c>
      <c r="M96" s="209">
        <f t="shared" si="27"/>
        <v>2844930.37</v>
      </c>
      <c r="N96" s="209">
        <f>+N18+N59</f>
        <v>3066214.58</v>
      </c>
      <c r="O96" s="209">
        <f t="shared" si="27"/>
        <v>3104526.98</v>
      </c>
      <c r="P96" s="209">
        <f>SUM(D96:O96)</f>
        <v>34937564.530000001</v>
      </c>
      <c r="Q96" s="39"/>
    </row>
    <row r="97" spans="2:17" customFormat="1" x14ac:dyDescent="0.25">
      <c r="B97" s="422"/>
      <c r="C97" s="141" t="s">
        <v>75</v>
      </c>
      <c r="D97" s="209">
        <f t="shared" ref="D97:O101" si="28">+D19+D60</f>
        <v>7620496.7400000002</v>
      </c>
      <c r="E97" s="209">
        <f t="shared" si="28"/>
        <v>7636757.4900000002</v>
      </c>
      <c r="F97" s="209">
        <f t="shared" si="28"/>
        <v>7633575.7200000007</v>
      </c>
      <c r="G97" s="209">
        <f t="shared" si="28"/>
        <v>7646800.7799999993</v>
      </c>
      <c r="H97" s="209">
        <f t="shared" si="28"/>
        <v>7636819.1400000006</v>
      </c>
      <c r="I97" s="209">
        <f t="shared" si="28"/>
        <v>7656702.9900000002</v>
      </c>
      <c r="J97" s="209">
        <f t="shared" si="28"/>
        <v>7623543.8499999996</v>
      </c>
      <c r="K97" s="209">
        <f t="shared" si="28"/>
        <v>7514022.25</v>
      </c>
      <c r="L97" s="209">
        <f t="shared" si="28"/>
        <v>7614375.6099999994</v>
      </c>
      <c r="M97" s="209">
        <f t="shared" si="28"/>
        <v>7709248.1500000004</v>
      </c>
      <c r="N97" s="209">
        <f t="shared" si="28"/>
        <v>7685721.0899999999</v>
      </c>
      <c r="O97" s="209">
        <f t="shared" si="28"/>
        <v>7697236</v>
      </c>
      <c r="P97" s="209">
        <f t="shared" ref="P97:P126" si="29">SUM(D97:O97)</f>
        <v>91675299.810000017</v>
      </c>
      <c r="Q97" s="39"/>
    </row>
    <row r="98" spans="2:17" customFormat="1" x14ac:dyDescent="0.25">
      <c r="B98" s="422"/>
      <c r="C98" s="141" t="s">
        <v>76</v>
      </c>
      <c r="D98" s="209">
        <f t="shared" si="28"/>
        <v>5721707.9100000001</v>
      </c>
      <c r="E98" s="209">
        <f t="shared" si="28"/>
        <v>4825183.82</v>
      </c>
      <c r="F98" s="209">
        <f t="shared" si="28"/>
        <v>5542493.6899999995</v>
      </c>
      <c r="G98" s="209">
        <f t="shared" si="28"/>
        <v>5483972.6200000001</v>
      </c>
      <c r="H98" s="209">
        <f t="shared" si="28"/>
        <v>5550438.4399999995</v>
      </c>
      <c r="I98" s="209">
        <f t="shared" si="28"/>
        <v>5544906.7000000002</v>
      </c>
      <c r="J98" s="209">
        <f t="shared" si="28"/>
        <v>5296186.3</v>
      </c>
      <c r="K98" s="209">
        <f t="shared" si="28"/>
        <v>4929200.21</v>
      </c>
      <c r="L98" s="209">
        <f t="shared" si="28"/>
        <v>6239067.3200000003</v>
      </c>
      <c r="M98" s="209">
        <f t="shared" si="28"/>
        <v>5711624.6299999999</v>
      </c>
      <c r="N98" s="209">
        <f t="shared" si="28"/>
        <v>5262354.42</v>
      </c>
      <c r="O98" s="209">
        <f t="shared" si="28"/>
        <v>5123514.92</v>
      </c>
      <c r="P98" s="209">
        <f t="shared" si="29"/>
        <v>65230650.980000004</v>
      </c>
      <c r="Q98" s="39"/>
    </row>
    <row r="99" spans="2:17" customFormat="1" x14ac:dyDescent="0.25">
      <c r="B99" s="422"/>
      <c r="C99" s="141" t="s">
        <v>77</v>
      </c>
      <c r="D99" s="209">
        <f t="shared" si="28"/>
        <v>2660303</v>
      </c>
      <c r="E99" s="209">
        <f t="shared" si="28"/>
        <v>2017704.9100000001</v>
      </c>
      <c r="F99" s="209">
        <f t="shared" si="28"/>
        <v>2688908.27</v>
      </c>
      <c r="G99" s="209">
        <f t="shared" si="28"/>
        <v>2450404.12</v>
      </c>
      <c r="H99" s="209">
        <f t="shared" si="28"/>
        <v>2624770.37</v>
      </c>
      <c r="I99" s="209">
        <f t="shared" si="28"/>
        <v>2742308.59</v>
      </c>
      <c r="J99" s="209">
        <f t="shared" si="28"/>
        <v>2453745.88</v>
      </c>
      <c r="K99" s="209">
        <f t="shared" si="28"/>
        <v>2259313.71</v>
      </c>
      <c r="L99" s="209">
        <f t="shared" si="28"/>
        <v>3388918.81</v>
      </c>
      <c r="M99" s="209">
        <f t="shared" si="28"/>
        <v>2710754.7</v>
      </c>
      <c r="N99" s="209">
        <f t="shared" si="28"/>
        <v>2287365.73</v>
      </c>
      <c r="O99" s="209">
        <f t="shared" si="28"/>
        <v>2202562.54</v>
      </c>
      <c r="P99" s="209">
        <f t="shared" si="29"/>
        <v>30487060.629999999</v>
      </c>
    </row>
    <row r="100" spans="2:17" customFormat="1" x14ac:dyDescent="0.25">
      <c r="B100" s="422"/>
      <c r="C100" s="141" t="s">
        <v>78</v>
      </c>
      <c r="D100" s="209">
        <f t="shared" si="28"/>
        <v>900828.94</v>
      </c>
      <c r="E100" s="209">
        <f t="shared" si="28"/>
        <v>676959.46</v>
      </c>
      <c r="F100" s="209">
        <f t="shared" si="28"/>
        <v>857972.8</v>
      </c>
      <c r="G100" s="209">
        <f t="shared" si="28"/>
        <v>816714.73</v>
      </c>
      <c r="H100" s="209">
        <f t="shared" si="28"/>
        <v>905375.5</v>
      </c>
      <c r="I100" s="209">
        <f t="shared" si="28"/>
        <v>956453.3</v>
      </c>
      <c r="J100" s="209">
        <f t="shared" si="28"/>
        <v>917240.6</v>
      </c>
      <c r="K100" s="209">
        <f t="shared" si="28"/>
        <v>883871.08000000007</v>
      </c>
      <c r="L100" s="209">
        <f t="shared" si="28"/>
        <v>1386219.79</v>
      </c>
      <c r="M100" s="209">
        <f t="shared" si="28"/>
        <v>959075.49</v>
      </c>
      <c r="N100" s="209">
        <f t="shared" si="28"/>
        <v>742758.9</v>
      </c>
      <c r="O100" s="209">
        <f t="shared" si="28"/>
        <v>750325.90999999992</v>
      </c>
      <c r="P100" s="209">
        <f t="shared" si="29"/>
        <v>10753796.5</v>
      </c>
      <c r="Q100" s="39"/>
    </row>
    <row r="101" spans="2:17" customFormat="1" x14ac:dyDescent="0.25">
      <c r="B101" s="422"/>
      <c r="C101" s="141" t="s">
        <v>79</v>
      </c>
      <c r="D101" s="209">
        <f t="shared" si="28"/>
        <v>650788.27</v>
      </c>
      <c r="E101" s="209">
        <f t="shared" si="28"/>
        <v>540742.69999999995</v>
      </c>
      <c r="F101" s="209">
        <f t="shared" si="28"/>
        <v>648727.1</v>
      </c>
      <c r="G101" s="209">
        <f t="shared" si="28"/>
        <v>617118.1</v>
      </c>
      <c r="H101" s="209">
        <f t="shared" si="28"/>
        <v>653713.19999999995</v>
      </c>
      <c r="I101" s="209">
        <f t="shared" si="28"/>
        <v>777904.49</v>
      </c>
      <c r="J101" s="209">
        <f t="shared" si="28"/>
        <v>780427.44</v>
      </c>
      <c r="K101" s="209">
        <f t="shared" si="28"/>
        <v>813226.34000000008</v>
      </c>
      <c r="L101" s="209">
        <f t="shared" si="28"/>
        <v>1155443.8599999999</v>
      </c>
      <c r="M101" s="209">
        <f t="shared" si="28"/>
        <v>752013.9</v>
      </c>
      <c r="N101" s="209">
        <f t="shared" si="28"/>
        <v>678414.54</v>
      </c>
      <c r="O101" s="209">
        <f t="shared" si="28"/>
        <v>883283.1</v>
      </c>
      <c r="P101" s="209">
        <f t="shared" si="29"/>
        <v>8951803.040000001</v>
      </c>
      <c r="Q101" s="39"/>
    </row>
    <row r="102" spans="2:17" customFormat="1" x14ac:dyDescent="0.25">
      <c r="B102" s="418" t="s">
        <v>80</v>
      </c>
      <c r="C102" s="418"/>
      <c r="D102" s="143">
        <f>SUM(D96:D101)</f>
        <v>20318338.07</v>
      </c>
      <c r="E102" s="143">
        <f t="shared" ref="E102:L102" si="30">SUM(E96:E101)</f>
        <v>18798713.73</v>
      </c>
      <c r="F102" s="143">
        <f t="shared" si="30"/>
        <v>20177496.640000004</v>
      </c>
      <c r="G102" s="143">
        <f t="shared" si="30"/>
        <v>19896430.810000002</v>
      </c>
      <c r="H102" s="143">
        <f t="shared" si="30"/>
        <v>20231226.059999999</v>
      </c>
      <c r="I102" s="143">
        <f t="shared" si="30"/>
        <v>20498505.07</v>
      </c>
      <c r="J102" s="143">
        <f t="shared" si="30"/>
        <v>20047435.060000002</v>
      </c>
      <c r="K102" s="143">
        <f t="shared" si="30"/>
        <v>19543990.940000001</v>
      </c>
      <c r="L102" s="143">
        <f t="shared" si="30"/>
        <v>22352113.159999996</v>
      </c>
      <c r="M102" s="143">
        <f>SUM(M96:M101)</f>
        <v>20687647.239999995</v>
      </c>
      <c r="N102" s="143">
        <f t="shared" ref="N102:O102" si="31">SUM(N96:N101)</f>
        <v>19722829.259999998</v>
      </c>
      <c r="O102" s="143">
        <f t="shared" si="31"/>
        <v>19761449.450000003</v>
      </c>
      <c r="P102" s="143">
        <f>SUM(D102:O102)</f>
        <v>242036175.48999995</v>
      </c>
      <c r="Q102" s="39"/>
    </row>
    <row r="103" spans="2:17" customFormat="1" x14ac:dyDescent="0.25">
      <c r="B103" s="422" t="s">
        <v>81</v>
      </c>
      <c r="C103" s="141" t="s">
        <v>74</v>
      </c>
      <c r="D103" s="209">
        <f>+D25+D66</f>
        <v>54519.4</v>
      </c>
      <c r="E103" s="209">
        <f t="shared" ref="E103:O103" si="32">+E25+E66</f>
        <v>63956.800000000003</v>
      </c>
      <c r="F103" s="209">
        <f t="shared" si="32"/>
        <v>53213.8</v>
      </c>
      <c r="G103" s="209">
        <f t="shared" si="32"/>
        <v>53706.6</v>
      </c>
      <c r="H103" s="209">
        <f t="shared" si="32"/>
        <v>53618.8</v>
      </c>
      <c r="I103" s="209">
        <f t="shared" si="32"/>
        <v>56998.95</v>
      </c>
      <c r="J103" s="209">
        <f t="shared" si="32"/>
        <v>65180.42</v>
      </c>
      <c r="K103" s="209">
        <f t="shared" si="32"/>
        <v>65200.36</v>
      </c>
      <c r="L103" s="209">
        <f t="shared" si="32"/>
        <v>51558.04</v>
      </c>
      <c r="M103" s="209">
        <f t="shared" si="32"/>
        <v>60096.2</v>
      </c>
      <c r="N103" s="209">
        <f t="shared" si="32"/>
        <v>68731.399999999994</v>
      </c>
      <c r="O103" s="209">
        <f t="shared" si="32"/>
        <v>66293.990000000005</v>
      </c>
      <c r="P103" s="209">
        <f t="shared" si="29"/>
        <v>713074.76</v>
      </c>
      <c r="Q103" s="39"/>
    </row>
    <row r="104" spans="2:17" customFormat="1" x14ac:dyDescent="0.25">
      <c r="B104" s="422"/>
      <c r="C104" s="141" t="s">
        <v>75</v>
      </c>
      <c r="D104" s="209">
        <f t="shared" ref="D104:O104" si="33">+D26+D67</f>
        <v>140494.29999999999</v>
      </c>
      <c r="E104" s="209">
        <f t="shared" si="33"/>
        <v>141704.6</v>
      </c>
      <c r="F104" s="209">
        <f t="shared" si="33"/>
        <v>147792</v>
      </c>
      <c r="G104" s="209">
        <f t="shared" si="33"/>
        <v>150513.20000000001</v>
      </c>
      <c r="H104" s="209">
        <f t="shared" si="33"/>
        <v>155239.29999999999</v>
      </c>
      <c r="I104" s="209">
        <f t="shared" si="33"/>
        <v>165455.51</v>
      </c>
      <c r="J104" s="209">
        <f t="shared" si="33"/>
        <v>167152.29999999999</v>
      </c>
      <c r="K104" s="209">
        <f t="shared" si="33"/>
        <v>165086.35999999999</v>
      </c>
      <c r="L104" s="209">
        <f t="shared" si="33"/>
        <v>171547.05</v>
      </c>
      <c r="M104" s="209">
        <f t="shared" si="33"/>
        <v>168037.64</v>
      </c>
      <c r="N104" s="209">
        <f t="shared" si="33"/>
        <v>163216.52000000002</v>
      </c>
      <c r="O104" s="209">
        <f t="shared" si="33"/>
        <v>168498.52000000002</v>
      </c>
      <c r="P104" s="209">
        <f t="shared" si="29"/>
        <v>1904737.3000000003</v>
      </c>
      <c r="Q104" s="39"/>
    </row>
    <row r="105" spans="2:17" customFormat="1" x14ac:dyDescent="0.25">
      <c r="B105" s="422"/>
      <c r="C105" s="141" t="s">
        <v>76</v>
      </c>
      <c r="D105" s="209">
        <f t="shared" ref="D105:O105" si="34">+D27+D68</f>
        <v>113358.6</v>
      </c>
      <c r="E105" s="209">
        <f t="shared" si="34"/>
        <v>99037.4</v>
      </c>
      <c r="F105" s="209">
        <f t="shared" si="34"/>
        <v>108119</v>
      </c>
      <c r="G105" s="209">
        <f t="shared" si="34"/>
        <v>110339</v>
      </c>
      <c r="H105" s="209">
        <f t="shared" si="34"/>
        <v>114244.6</v>
      </c>
      <c r="I105" s="209">
        <f t="shared" si="34"/>
        <v>118841.78</v>
      </c>
      <c r="J105" s="209">
        <f t="shared" si="34"/>
        <v>113680.88</v>
      </c>
      <c r="K105" s="209">
        <f t="shared" si="34"/>
        <v>113169.9</v>
      </c>
      <c r="L105" s="209">
        <f t="shared" si="34"/>
        <v>144795.73000000001</v>
      </c>
      <c r="M105" s="209">
        <f t="shared" si="34"/>
        <v>130064.17</v>
      </c>
      <c r="N105" s="209">
        <f t="shared" si="34"/>
        <v>120524.61</v>
      </c>
      <c r="O105" s="209">
        <f t="shared" si="34"/>
        <v>122020.57</v>
      </c>
      <c r="P105" s="209">
        <f t="shared" si="29"/>
        <v>1408196.2400000002</v>
      </c>
      <c r="Q105" s="39"/>
    </row>
    <row r="106" spans="2:17" customFormat="1" x14ac:dyDescent="0.25">
      <c r="B106" s="422"/>
      <c r="C106" s="141" t="s">
        <v>77</v>
      </c>
      <c r="D106" s="209">
        <f t="shared" ref="D106:O106" si="35">+D28+D69</f>
        <v>55928</v>
      </c>
      <c r="E106" s="209">
        <f t="shared" si="35"/>
        <v>40688.65</v>
      </c>
      <c r="F106" s="209">
        <f t="shared" si="35"/>
        <v>52598.2</v>
      </c>
      <c r="G106" s="209">
        <f t="shared" si="35"/>
        <v>49090</v>
      </c>
      <c r="H106" s="209">
        <f t="shared" si="35"/>
        <v>51109.599999999999</v>
      </c>
      <c r="I106" s="209">
        <f t="shared" si="35"/>
        <v>57087.6</v>
      </c>
      <c r="J106" s="209">
        <f t="shared" si="35"/>
        <v>53611.58</v>
      </c>
      <c r="K106" s="209">
        <f t="shared" si="35"/>
        <v>46771.990000000005</v>
      </c>
      <c r="L106" s="209">
        <f t="shared" si="35"/>
        <v>80031.199999999997</v>
      </c>
      <c r="M106" s="209">
        <f t="shared" si="35"/>
        <v>66620.2</v>
      </c>
      <c r="N106" s="209">
        <f t="shared" si="35"/>
        <v>58054.39</v>
      </c>
      <c r="O106" s="209">
        <f t="shared" si="35"/>
        <v>57301.79</v>
      </c>
      <c r="P106" s="209">
        <f t="shared" si="29"/>
        <v>668893.20000000007</v>
      </c>
      <c r="Q106" s="39"/>
    </row>
    <row r="107" spans="2:17" customFormat="1" x14ac:dyDescent="0.25">
      <c r="B107" s="422"/>
      <c r="C107" s="141" t="s">
        <v>78</v>
      </c>
      <c r="D107" s="209">
        <f t="shared" ref="D107:O107" si="36">+D29+D70</f>
        <v>16197.8</v>
      </c>
      <c r="E107" s="209">
        <f t="shared" si="36"/>
        <v>11857.4</v>
      </c>
      <c r="F107" s="209">
        <f t="shared" si="36"/>
        <v>13708.4</v>
      </c>
      <c r="G107" s="209">
        <f t="shared" si="36"/>
        <v>13892</v>
      </c>
      <c r="H107" s="209">
        <f t="shared" si="36"/>
        <v>13894</v>
      </c>
      <c r="I107" s="209">
        <f t="shared" si="36"/>
        <v>14819.8</v>
      </c>
      <c r="J107" s="209">
        <f t="shared" si="36"/>
        <v>12939.4</v>
      </c>
      <c r="K107" s="209">
        <f t="shared" si="36"/>
        <v>13423.6</v>
      </c>
      <c r="L107" s="209">
        <f t="shared" si="36"/>
        <v>23905.4</v>
      </c>
      <c r="M107" s="209">
        <f t="shared" si="36"/>
        <v>19084.400000000001</v>
      </c>
      <c r="N107" s="209">
        <f t="shared" si="36"/>
        <v>16040.6</v>
      </c>
      <c r="O107" s="209">
        <f t="shared" si="36"/>
        <v>16726.169999999998</v>
      </c>
      <c r="P107" s="209">
        <f t="shared" si="29"/>
        <v>186488.97000000003</v>
      </c>
      <c r="Q107" s="39"/>
    </row>
    <row r="108" spans="2:17" customFormat="1" x14ac:dyDescent="0.25">
      <c r="B108" s="422"/>
      <c r="C108" s="141" t="s">
        <v>79</v>
      </c>
      <c r="D108" s="209">
        <f t="shared" ref="D108:O108" si="37">+D30+D71</f>
        <v>9784.7999999999993</v>
      </c>
      <c r="E108" s="209">
        <f t="shared" si="37"/>
        <v>9762.4</v>
      </c>
      <c r="F108" s="209">
        <f t="shared" si="37"/>
        <v>15399</v>
      </c>
      <c r="G108" s="209">
        <f t="shared" si="37"/>
        <v>12388.2</v>
      </c>
      <c r="H108" s="209">
        <f t="shared" si="37"/>
        <v>10383.200000000001</v>
      </c>
      <c r="I108" s="209">
        <f t="shared" si="37"/>
        <v>12153.2</v>
      </c>
      <c r="J108" s="209">
        <f t="shared" si="37"/>
        <v>10405.4</v>
      </c>
      <c r="K108" s="209">
        <f t="shared" si="37"/>
        <v>9593.7999999999993</v>
      </c>
      <c r="L108" s="209">
        <f t="shared" si="37"/>
        <v>11750.4</v>
      </c>
      <c r="M108" s="209">
        <f t="shared" si="37"/>
        <v>10648.8</v>
      </c>
      <c r="N108" s="209">
        <f t="shared" si="37"/>
        <v>11619.4</v>
      </c>
      <c r="O108" s="209">
        <f t="shared" si="37"/>
        <v>11809.4</v>
      </c>
      <c r="P108" s="209">
        <f t="shared" si="29"/>
        <v>135697.99999999997</v>
      </c>
      <c r="Q108" s="39"/>
    </row>
    <row r="109" spans="2:17" customFormat="1" x14ac:dyDescent="0.25">
      <c r="B109" s="418" t="s">
        <v>80</v>
      </c>
      <c r="C109" s="418"/>
      <c r="D109" s="143">
        <f>SUM(D103:D108)</f>
        <v>390282.89999999997</v>
      </c>
      <c r="E109" s="143">
        <f t="shared" ref="E109" si="38">SUM(E103:E108)</f>
        <v>367007.25000000012</v>
      </c>
      <c r="F109" s="143">
        <f t="shared" ref="F109" si="39">SUM(F103:F108)</f>
        <v>390830.4</v>
      </c>
      <c r="G109" s="143">
        <f t="shared" ref="G109" si="40">SUM(G103:G108)</f>
        <v>389929.00000000006</v>
      </c>
      <c r="H109" s="143">
        <f t="shared" ref="H109" si="41">SUM(H103:H108)</f>
        <v>398489.49999999994</v>
      </c>
      <c r="I109" s="143">
        <f t="shared" ref="I109" si="42">SUM(I103:I108)</f>
        <v>425356.83999999997</v>
      </c>
      <c r="J109" s="143">
        <f t="shared" ref="J109" si="43">SUM(J103:J108)</f>
        <v>422969.98000000004</v>
      </c>
      <c r="K109" s="143">
        <f t="shared" ref="K109" si="44">SUM(K103:K108)</f>
        <v>413246.00999999995</v>
      </c>
      <c r="L109" s="143">
        <f t="shared" ref="L109" si="45">SUM(L103:L108)</f>
        <v>483587.82000000007</v>
      </c>
      <c r="M109" s="143">
        <f t="shared" ref="M109:O109" si="46">SUM(M103:M108)</f>
        <v>454551.41000000003</v>
      </c>
      <c r="N109" s="143">
        <f t="shared" si="46"/>
        <v>438186.92000000004</v>
      </c>
      <c r="O109" s="143">
        <f t="shared" si="46"/>
        <v>442650.44</v>
      </c>
      <c r="P109" s="143">
        <f>SUM(D109:O109)</f>
        <v>5017088.4700000007</v>
      </c>
      <c r="Q109" s="39"/>
    </row>
    <row r="110" spans="2:17" customFormat="1" x14ac:dyDescent="0.25">
      <c r="B110" s="424" t="s">
        <v>48</v>
      </c>
      <c r="C110" s="141" t="s">
        <v>82</v>
      </c>
      <c r="D110" s="209">
        <f>+D32+D73</f>
        <v>78184.899999999994</v>
      </c>
      <c r="E110" s="209">
        <f t="shared" ref="E110:O110" si="47">+E32+E73</f>
        <v>79218.69</v>
      </c>
      <c r="F110" s="209">
        <f t="shared" si="47"/>
        <v>80002.03</v>
      </c>
      <c r="G110" s="209">
        <f t="shared" si="47"/>
        <v>81710.06</v>
      </c>
      <c r="H110" s="209">
        <f t="shared" si="47"/>
        <v>79919.87</v>
      </c>
      <c r="I110" s="209">
        <f t="shared" si="47"/>
        <v>78732.86</v>
      </c>
      <c r="J110" s="209">
        <f t="shared" si="47"/>
        <v>79257</v>
      </c>
      <c r="K110" s="209">
        <f t="shared" si="47"/>
        <v>80389.36</v>
      </c>
      <c r="L110" s="209">
        <f t="shared" si="47"/>
        <v>76853.55</v>
      </c>
      <c r="M110" s="209">
        <f t="shared" si="47"/>
        <v>78375.45</v>
      </c>
      <c r="N110" s="209">
        <f t="shared" si="47"/>
        <v>80547.209999999992</v>
      </c>
      <c r="O110" s="209">
        <f t="shared" si="47"/>
        <v>80063.53</v>
      </c>
      <c r="P110" s="209">
        <f>SUM(D110:O110)</f>
        <v>953254.50999999989</v>
      </c>
      <c r="Q110" s="39"/>
    </row>
    <row r="111" spans="2:17" customFormat="1" x14ac:dyDescent="0.25">
      <c r="B111" s="424"/>
      <c r="C111" s="141" t="s">
        <v>83</v>
      </c>
      <c r="D111" s="209">
        <f t="shared" ref="D111:O111" si="48">+D33+D74</f>
        <v>86010.91</v>
      </c>
      <c r="E111" s="209">
        <f t="shared" si="48"/>
        <v>87328.489999999991</v>
      </c>
      <c r="F111" s="209">
        <f t="shared" si="48"/>
        <v>85087.11</v>
      </c>
      <c r="G111" s="209">
        <f t="shared" si="48"/>
        <v>84012.23000000001</v>
      </c>
      <c r="H111" s="209">
        <f t="shared" si="48"/>
        <v>86810.12</v>
      </c>
      <c r="I111" s="209">
        <f t="shared" si="48"/>
        <v>86209.4</v>
      </c>
      <c r="J111" s="209">
        <f t="shared" si="48"/>
        <v>88956.08</v>
      </c>
      <c r="K111" s="209">
        <f t="shared" si="48"/>
        <v>89448.48000000001</v>
      </c>
      <c r="L111" s="209">
        <f t="shared" si="48"/>
        <v>87927.48000000001</v>
      </c>
      <c r="M111" s="209">
        <f t="shared" si="48"/>
        <v>90238.5</v>
      </c>
      <c r="N111" s="209">
        <f t="shared" si="48"/>
        <v>90404.39</v>
      </c>
      <c r="O111" s="209">
        <f t="shared" si="48"/>
        <v>91046.28</v>
      </c>
      <c r="P111" s="209">
        <f t="shared" si="29"/>
        <v>1053479.47</v>
      </c>
      <c r="Q111" s="39"/>
    </row>
    <row r="112" spans="2:17" customFormat="1" x14ac:dyDescent="0.25">
      <c r="B112" s="424"/>
      <c r="C112" s="141" t="s">
        <v>84</v>
      </c>
      <c r="D112" s="209">
        <f t="shared" ref="D112:O112" si="49">+D34+D75</f>
        <v>91899.83</v>
      </c>
      <c r="E112" s="209">
        <f t="shared" si="49"/>
        <v>89600.68</v>
      </c>
      <c r="F112" s="209">
        <f t="shared" si="49"/>
        <v>86704.93</v>
      </c>
      <c r="G112" s="209">
        <f t="shared" si="49"/>
        <v>87372.9</v>
      </c>
      <c r="H112" s="209">
        <f t="shared" si="49"/>
        <v>91193.15</v>
      </c>
      <c r="I112" s="209">
        <f t="shared" si="49"/>
        <v>94717.459999999992</v>
      </c>
      <c r="J112" s="209">
        <f t="shared" si="49"/>
        <v>95999.65</v>
      </c>
      <c r="K112" s="209">
        <f t="shared" si="49"/>
        <v>96043.14</v>
      </c>
      <c r="L112" s="209">
        <f t="shared" si="49"/>
        <v>94567.790000000008</v>
      </c>
      <c r="M112" s="209">
        <f t="shared" si="49"/>
        <v>95316.08</v>
      </c>
      <c r="N112" s="209">
        <f t="shared" si="49"/>
        <v>94873.3</v>
      </c>
      <c r="O112" s="209">
        <f t="shared" si="49"/>
        <v>91677.5</v>
      </c>
      <c r="P112" s="209">
        <f t="shared" si="29"/>
        <v>1109966.4100000001</v>
      </c>
      <c r="Q112" s="39"/>
    </row>
    <row r="113" spans="2:18" customFormat="1" x14ac:dyDescent="0.25">
      <c r="B113" s="424"/>
      <c r="C113" s="141" t="s">
        <v>85</v>
      </c>
      <c r="D113" s="209">
        <f t="shared" ref="D113:O113" si="50">+D35+D76</f>
        <v>436953.14</v>
      </c>
      <c r="E113" s="209">
        <f t="shared" si="50"/>
        <v>431479.82</v>
      </c>
      <c r="F113" s="209">
        <f t="shared" si="50"/>
        <v>433445.24</v>
      </c>
      <c r="G113" s="209">
        <f t="shared" si="50"/>
        <v>410192.41000000003</v>
      </c>
      <c r="H113" s="209">
        <f t="shared" si="50"/>
        <v>445785.05</v>
      </c>
      <c r="I113" s="209">
        <f t="shared" si="50"/>
        <v>456107.8</v>
      </c>
      <c r="J113" s="209">
        <f t="shared" si="50"/>
        <v>458743.39</v>
      </c>
      <c r="K113" s="209">
        <f t="shared" si="50"/>
        <v>445992.49</v>
      </c>
      <c r="L113" s="209">
        <f t="shared" si="50"/>
        <v>505740.3</v>
      </c>
      <c r="M113" s="209">
        <f t="shared" si="50"/>
        <v>484896.24</v>
      </c>
      <c r="N113" s="209">
        <f t="shared" si="50"/>
        <v>460620.2</v>
      </c>
      <c r="O113" s="209">
        <f t="shared" si="50"/>
        <v>462838.03</v>
      </c>
      <c r="P113" s="209">
        <f t="shared" si="29"/>
        <v>5432794.1100000003</v>
      </c>
      <c r="Q113" s="39"/>
    </row>
    <row r="114" spans="2:18" customFormat="1" x14ac:dyDescent="0.25">
      <c r="B114" s="424"/>
      <c r="C114" s="141" t="s">
        <v>86</v>
      </c>
      <c r="D114" s="209">
        <f t="shared" ref="D114:O114" si="51">+D36+D77</f>
        <v>1229529.76</v>
      </c>
      <c r="E114" s="209">
        <f t="shared" si="51"/>
        <v>1205627.71</v>
      </c>
      <c r="F114" s="209">
        <f t="shared" si="51"/>
        <v>1193185.1499999999</v>
      </c>
      <c r="G114" s="209">
        <f t="shared" si="51"/>
        <v>1064141.6299999999</v>
      </c>
      <c r="H114" s="209">
        <f t="shared" si="51"/>
        <v>1236986.1000000001</v>
      </c>
      <c r="I114" s="209">
        <f t="shared" si="51"/>
        <v>1297448.8599999999</v>
      </c>
      <c r="J114" s="209">
        <f t="shared" si="51"/>
        <v>1340411.49</v>
      </c>
      <c r="K114" s="209">
        <f t="shared" si="51"/>
        <v>1310172.8500000001</v>
      </c>
      <c r="L114" s="209">
        <f t="shared" si="51"/>
        <v>1536700.81</v>
      </c>
      <c r="M114" s="209">
        <f t="shared" si="51"/>
        <v>1423335.88</v>
      </c>
      <c r="N114" s="209">
        <f t="shared" si="51"/>
        <v>1366565.79</v>
      </c>
      <c r="O114" s="209">
        <f t="shared" si="51"/>
        <v>1375538.4300000002</v>
      </c>
      <c r="P114" s="209">
        <f t="shared" si="29"/>
        <v>15579644.459999997</v>
      </c>
      <c r="Q114" s="39"/>
    </row>
    <row r="115" spans="2:18" customFormat="1" x14ac:dyDescent="0.25">
      <c r="B115" s="418" t="s">
        <v>80</v>
      </c>
      <c r="C115" s="418"/>
      <c r="D115" s="143">
        <f>SUM(D110:D114)</f>
        <v>1922578.54</v>
      </c>
      <c r="E115" s="143">
        <f t="shared" ref="E115:O115" si="52">SUM(E110:E114)</f>
        <v>1893255.39</v>
      </c>
      <c r="F115" s="143">
        <f t="shared" si="52"/>
        <v>1878424.46</v>
      </c>
      <c r="G115" s="143">
        <f t="shared" si="52"/>
        <v>1727429.23</v>
      </c>
      <c r="H115" s="143">
        <f t="shared" si="52"/>
        <v>1940694.29</v>
      </c>
      <c r="I115" s="143">
        <f t="shared" si="52"/>
        <v>2013216.38</v>
      </c>
      <c r="J115" s="143">
        <f t="shared" si="52"/>
        <v>2063367.6099999999</v>
      </c>
      <c r="K115" s="143">
        <f t="shared" si="52"/>
        <v>2022046.32</v>
      </c>
      <c r="L115" s="143">
        <f t="shared" si="52"/>
        <v>2301789.9300000002</v>
      </c>
      <c r="M115" s="143">
        <f t="shared" si="52"/>
        <v>2172162.15</v>
      </c>
      <c r="N115" s="143">
        <f t="shared" si="52"/>
        <v>2093010.8900000001</v>
      </c>
      <c r="O115" s="143">
        <f t="shared" si="52"/>
        <v>2101163.7700000005</v>
      </c>
      <c r="P115" s="143">
        <f>SUM(D115:O115)</f>
        <v>24129138.959999997</v>
      </c>
      <c r="Q115" s="39"/>
    </row>
    <row r="116" spans="2:18" customFormat="1" x14ac:dyDescent="0.25">
      <c r="B116" s="424" t="s">
        <v>49</v>
      </c>
      <c r="C116" s="141" t="s">
        <v>82</v>
      </c>
      <c r="D116" s="209">
        <f>+D38+D79</f>
        <v>681.1</v>
      </c>
      <c r="E116" s="209">
        <f t="shared" ref="E116:O116" si="53">+E38+E79</f>
        <v>581.1</v>
      </c>
      <c r="F116" s="209">
        <f t="shared" si="53"/>
        <v>692.4</v>
      </c>
      <c r="G116" s="209">
        <f t="shared" si="53"/>
        <v>710.5</v>
      </c>
      <c r="H116" s="209">
        <f t="shared" si="53"/>
        <v>723.6</v>
      </c>
      <c r="I116" s="209">
        <f t="shared" si="53"/>
        <v>622.5</v>
      </c>
      <c r="J116" s="209">
        <f t="shared" si="53"/>
        <v>605.1</v>
      </c>
      <c r="K116" s="209">
        <f t="shared" si="53"/>
        <v>619.4</v>
      </c>
      <c r="L116" s="209">
        <f t="shared" si="53"/>
        <v>559.29999999999995</v>
      </c>
      <c r="M116" s="209">
        <f t="shared" si="53"/>
        <v>637.70000000000005</v>
      </c>
      <c r="N116" s="209">
        <f t="shared" si="53"/>
        <v>690.9</v>
      </c>
      <c r="O116" s="209">
        <f t="shared" si="53"/>
        <v>714.3</v>
      </c>
      <c r="P116" s="209">
        <f>SUM(D116:O116)</f>
        <v>7837.9</v>
      </c>
      <c r="Q116" s="39"/>
    </row>
    <row r="117" spans="2:18" x14ac:dyDescent="0.25">
      <c r="B117" s="424"/>
      <c r="C117" s="141" t="s">
        <v>83</v>
      </c>
      <c r="D117" s="209">
        <f t="shared" ref="D117:O117" si="54">+D39+D80</f>
        <v>958</v>
      </c>
      <c r="E117" s="209">
        <f t="shared" si="54"/>
        <v>1161.7</v>
      </c>
      <c r="F117" s="209">
        <f t="shared" si="54"/>
        <v>1042.2</v>
      </c>
      <c r="G117" s="209">
        <f t="shared" si="54"/>
        <v>1097.3</v>
      </c>
      <c r="H117" s="209">
        <f t="shared" si="54"/>
        <v>1024.8</v>
      </c>
      <c r="I117" s="209">
        <f t="shared" si="54"/>
        <v>1023.3</v>
      </c>
      <c r="J117" s="209">
        <f t="shared" si="54"/>
        <v>1194.3</v>
      </c>
      <c r="K117" s="209">
        <f t="shared" si="54"/>
        <v>1112.2</v>
      </c>
      <c r="L117" s="209">
        <f t="shared" si="54"/>
        <v>878.9</v>
      </c>
      <c r="M117" s="209">
        <f t="shared" si="54"/>
        <v>1055.5</v>
      </c>
      <c r="N117" s="209">
        <f t="shared" si="54"/>
        <v>1093</v>
      </c>
      <c r="O117" s="209">
        <f t="shared" si="54"/>
        <v>1099</v>
      </c>
      <c r="P117" s="209">
        <f t="shared" si="29"/>
        <v>12740.2</v>
      </c>
    </row>
    <row r="118" spans="2:18" x14ac:dyDescent="0.25">
      <c r="B118" s="424"/>
      <c r="C118" s="141" t="s">
        <v>84</v>
      </c>
      <c r="D118" s="209">
        <f t="shared" ref="D118:O118" si="55">+D40+D81</f>
        <v>1581.2</v>
      </c>
      <c r="E118" s="209">
        <f t="shared" si="55"/>
        <v>1713.9</v>
      </c>
      <c r="F118" s="209">
        <f t="shared" si="55"/>
        <v>1426.3</v>
      </c>
      <c r="G118" s="209">
        <f t="shared" si="55"/>
        <v>1473.78</v>
      </c>
      <c r="H118" s="209">
        <f t="shared" si="55"/>
        <v>1554.5</v>
      </c>
      <c r="I118" s="209">
        <f t="shared" si="55"/>
        <v>1565.8</v>
      </c>
      <c r="J118" s="209">
        <f t="shared" si="55"/>
        <v>1438</v>
      </c>
      <c r="K118" s="209">
        <f t="shared" si="55"/>
        <v>1327.4</v>
      </c>
      <c r="L118" s="209">
        <f t="shared" si="55"/>
        <v>1519.8</v>
      </c>
      <c r="M118" s="209">
        <f t="shared" si="55"/>
        <v>1506.7</v>
      </c>
      <c r="N118" s="209">
        <f t="shared" si="55"/>
        <v>1471.3</v>
      </c>
      <c r="O118" s="209">
        <f t="shared" si="55"/>
        <v>1246.8</v>
      </c>
      <c r="P118" s="209">
        <f t="shared" si="29"/>
        <v>17825.48</v>
      </c>
    </row>
    <row r="119" spans="2:18" x14ac:dyDescent="0.25">
      <c r="B119" s="424"/>
      <c r="C119" s="141" t="s">
        <v>85</v>
      </c>
      <c r="D119" s="209">
        <f t="shared" ref="D119:O119" si="56">+D41+D82</f>
        <v>12649.8</v>
      </c>
      <c r="E119" s="209">
        <f t="shared" si="56"/>
        <v>12539</v>
      </c>
      <c r="F119" s="209">
        <f t="shared" si="56"/>
        <v>12697.3</v>
      </c>
      <c r="G119" s="209">
        <f t="shared" si="56"/>
        <v>12293.9</v>
      </c>
      <c r="H119" s="209">
        <f t="shared" si="56"/>
        <v>12553.4</v>
      </c>
      <c r="I119" s="209">
        <f t="shared" si="56"/>
        <v>12821.4</v>
      </c>
      <c r="J119" s="209">
        <f t="shared" si="56"/>
        <v>13146.1</v>
      </c>
      <c r="K119" s="209">
        <f t="shared" si="56"/>
        <v>13236.18</v>
      </c>
      <c r="L119" s="209">
        <f t="shared" si="56"/>
        <v>14453.83</v>
      </c>
      <c r="M119" s="209">
        <f t="shared" si="56"/>
        <v>13479</v>
      </c>
      <c r="N119" s="209">
        <f t="shared" si="56"/>
        <v>14059.1</v>
      </c>
      <c r="O119" s="209">
        <f t="shared" si="56"/>
        <v>13873.619999999999</v>
      </c>
      <c r="P119" s="209">
        <f t="shared" si="29"/>
        <v>157802.63</v>
      </c>
    </row>
    <row r="120" spans="2:18" x14ac:dyDescent="0.25">
      <c r="B120" s="424"/>
      <c r="C120" s="141" t="s">
        <v>86</v>
      </c>
      <c r="D120" s="209">
        <f t="shared" ref="D120:N120" si="57">+D42+D83</f>
        <v>64400.6</v>
      </c>
      <c r="E120" s="209">
        <f t="shared" si="57"/>
        <v>51935.8</v>
      </c>
      <c r="F120" s="209">
        <f t="shared" si="57"/>
        <v>1225126.8799999999</v>
      </c>
      <c r="G120" s="209">
        <f t="shared" si="57"/>
        <v>53623.3</v>
      </c>
      <c r="H120" s="209">
        <f t="shared" si="57"/>
        <v>51171.93</v>
      </c>
      <c r="I120" s="209">
        <f t="shared" si="57"/>
        <v>58690.59</v>
      </c>
      <c r="J120" s="209">
        <f t="shared" si="57"/>
        <v>58165.85</v>
      </c>
      <c r="K120" s="209">
        <f t="shared" si="57"/>
        <v>61760.39</v>
      </c>
      <c r="L120" s="209">
        <f t="shared" si="57"/>
        <v>75113.87</v>
      </c>
      <c r="M120" s="209">
        <f t="shared" si="57"/>
        <v>75899.199999999997</v>
      </c>
      <c r="N120" s="209">
        <f t="shared" si="57"/>
        <v>70039.25</v>
      </c>
      <c r="O120" s="209">
        <f>+O42+O83</f>
        <v>65403.619999999995</v>
      </c>
      <c r="P120" s="209">
        <f t="shared" si="29"/>
        <v>1911331.2799999998</v>
      </c>
    </row>
    <row r="121" spans="2:18" x14ac:dyDescent="0.25">
      <c r="B121" s="418" t="s">
        <v>80</v>
      </c>
      <c r="C121" s="418"/>
      <c r="D121" s="143">
        <f>SUM(D116:D120)</f>
        <v>80270.7</v>
      </c>
      <c r="E121" s="143">
        <f t="shared" ref="E121:O121" si="58">SUM(E116:E120)</f>
        <v>67931.5</v>
      </c>
      <c r="F121" s="143">
        <f t="shared" si="58"/>
        <v>1240985.0799999998</v>
      </c>
      <c r="G121" s="143">
        <f t="shared" si="58"/>
        <v>69198.78</v>
      </c>
      <c r="H121" s="143">
        <f t="shared" si="58"/>
        <v>67028.23</v>
      </c>
      <c r="I121" s="143">
        <f t="shared" si="58"/>
        <v>74723.59</v>
      </c>
      <c r="J121" s="143">
        <f t="shared" si="58"/>
        <v>74549.350000000006</v>
      </c>
      <c r="K121" s="143">
        <f t="shared" si="58"/>
        <v>78055.570000000007</v>
      </c>
      <c r="L121" s="143">
        <f t="shared" si="58"/>
        <v>92525.7</v>
      </c>
      <c r="M121" s="143">
        <f t="shared" si="58"/>
        <v>92578.1</v>
      </c>
      <c r="N121" s="143">
        <f t="shared" si="58"/>
        <v>87353.55</v>
      </c>
      <c r="O121" s="143">
        <f t="shared" si="58"/>
        <v>82337.34</v>
      </c>
      <c r="P121" s="143">
        <f>SUM(D121:O121)</f>
        <v>2107537.4900000002</v>
      </c>
    </row>
    <row r="122" spans="2:18" x14ac:dyDescent="0.25">
      <c r="B122" s="424" t="s">
        <v>87</v>
      </c>
      <c r="C122" s="141" t="s">
        <v>82</v>
      </c>
      <c r="D122" s="209">
        <f>+D44+D85</f>
        <v>1052.4000000000001</v>
      </c>
      <c r="E122" s="209">
        <f t="shared" ref="E122:O122" si="59">+E44+E85</f>
        <v>1021.8</v>
      </c>
      <c r="F122" s="209">
        <f t="shared" si="59"/>
        <v>1116</v>
      </c>
      <c r="G122" s="209">
        <f t="shared" si="59"/>
        <v>1129.2</v>
      </c>
      <c r="H122" s="209">
        <f t="shared" si="59"/>
        <v>1217.5999999999999</v>
      </c>
      <c r="I122" s="209">
        <f t="shared" si="59"/>
        <v>986</v>
      </c>
      <c r="J122" s="209">
        <f t="shared" si="59"/>
        <v>958.2</v>
      </c>
      <c r="K122" s="209">
        <f t="shared" si="59"/>
        <v>971.9</v>
      </c>
      <c r="L122" s="209">
        <f t="shared" si="59"/>
        <v>789.8</v>
      </c>
      <c r="M122" s="209">
        <f t="shared" si="59"/>
        <v>751.5</v>
      </c>
      <c r="N122" s="209">
        <f t="shared" si="59"/>
        <v>975.4</v>
      </c>
      <c r="O122" s="209">
        <f t="shared" si="59"/>
        <v>1091.2</v>
      </c>
      <c r="P122" s="209">
        <f t="shared" si="29"/>
        <v>12061</v>
      </c>
    </row>
    <row r="123" spans="2:18" x14ac:dyDescent="0.25">
      <c r="B123" s="424"/>
      <c r="C123" s="141" t="s">
        <v>83</v>
      </c>
      <c r="D123" s="209">
        <f t="shared" ref="D123:O123" si="60">+D45+D86</f>
        <v>1747.8</v>
      </c>
      <c r="E123" s="209">
        <f t="shared" si="60"/>
        <v>1705</v>
      </c>
      <c r="F123" s="209">
        <f t="shared" si="60"/>
        <v>1676.8</v>
      </c>
      <c r="G123" s="209">
        <f t="shared" si="60"/>
        <v>1628.8</v>
      </c>
      <c r="H123" s="209">
        <f t="shared" si="60"/>
        <v>1620.4</v>
      </c>
      <c r="I123" s="209">
        <f t="shared" si="60"/>
        <v>1560.6</v>
      </c>
      <c r="J123" s="209">
        <f t="shared" si="60"/>
        <v>4169.87</v>
      </c>
      <c r="K123" s="209">
        <f t="shared" si="60"/>
        <v>1323.6</v>
      </c>
      <c r="L123" s="209">
        <f t="shared" si="60"/>
        <v>1093.5999999999999</v>
      </c>
      <c r="M123" s="209">
        <f t="shared" si="60"/>
        <v>1069</v>
      </c>
      <c r="N123" s="209">
        <f t="shared" si="60"/>
        <v>1324.9</v>
      </c>
      <c r="O123" s="209">
        <f t="shared" si="60"/>
        <v>1548.2</v>
      </c>
      <c r="P123" s="209">
        <f t="shared" si="29"/>
        <v>20468.570000000003</v>
      </c>
    </row>
    <row r="124" spans="2:18" x14ac:dyDescent="0.25">
      <c r="B124" s="424"/>
      <c r="C124" s="141" t="s">
        <v>84</v>
      </c>
      <c r="D124" s="209">
        <f t="shared" ref="D124:O124" si="61">+D46+D87</f>
        <v>2178.1999999999998</v>
      </c>
      <c r="E124" s="209">
        <f t="shared" si="61"/>
        <v>2311.1999999999998</v>
      </c>
      <c r="F124" s="209">
        <f t="shared" si="61"/>
        <v>2446.6</v>
      </c>
      <c r="G124" s="209">
        <f t="shared" si="61"/>
        <v>2195.1999999999998</v>
      </c>
      <c r="H124" s="209">
        <f t="shared" si="61"/>
        <v>2142.8000000000002</v>
      </c>
      <c r="I124" s="209">
        <f t="shared" si="61"/>
        <v>2116</v>
      </c>
      <c r="J124" s="209">
        <f t="shared" si="61"/>
        <v>1520</v>
      </c>
      <c r="K124" s="209">
        <f t="shared" si="61"/>
        <v>1849</v>
      </c>
      <c r="L124" s="209">
        <f t="shared" si="61"/>
        <v>1673.8</v>
      </c>
      <c r="M124" s="209">
        <f t="shared" si="61"/>
        <v>1675.6</v>
      </c>
      <c r="N124" s="209">
        <f t="shared" si="61"/>
        <v>1456.6</v>
      </c>
      <c r="O124" s="209">
        <f t="shared" si="61"/>
        <v>1760.2</v>
      </c>
      <c r="P124" s="209">
        <f t="shared" si="29"/>
        <v>23325.199999999997</v>
      </c>
    </row>
    <row r="125" spans="2:18" x14ac:dyDescent="0.25">
      <c r="B125" s="424"/>
      <c r="C125" s="141" t="s">
        <v>85</v>
      </c>
      <c r="D125" s="209">
        <f t="shared" ref="D125:O125" si="62">+D47+D88</f>
        <v>30338.799999999999</v>
      </c>
      <c r="E125" s="209">
        <f t="shared" si="62"/>
        <v>30670.799999999999</v>
      </c>
      <c r="F125" s="209">
        <f t="shared" si="62"/>
        <v>31438.82</v>
      </c>
      <c r="G125" s="209">
        <f t="shared" si="62"/>
        <v>34788.759999999995</v>
      </c>
      <c r="H125" s="209">
        <f t="shared" si="62"/>
        <v>28582.6</v>
      </c>
      <c r="I125" s="209">
        <f t="shared" si="62"/>
        <v>31724.639999999999</v>
      </c>
      <c r="J125" s="209">
        <f t="shared" si="62"/>
        <v>29157.4</v>
      </c>
      <c r="K125" s="209">
        <f t="shared" si="62"/>
        <v>28424.14</v>
      </c>
      <c r="L125" s="209">
        <f t="shared" si="62"/>
        <v>25113.379999999997</v>
      </c>
      <c r="M125" s="209">
        <f t="shared" si="62"/>
        <v>23556.6</v>
      </c>
      <c r="N125" s="209">
        <f t="shared" si="62"/>
        <v>24733</v>
      </c>
      <c r="O125" s="209">
        <f t="shared" si="62"/>
        <v>24057</v>
      </c>
      <c r="P125" s="209">
        <f t="shared" si="29"/>
        <v>342585.93999999994</v>
      </c>
    </row>
    <row r="126" spans="2:18" x14ac:dyDescent="0.25">
      <c r="B126" s="424"/>
      <c r="C126" s="141" t="s">
        <v>86</v>
      </c>
      <c r="D126" s="209">
        <f t="shared" ref="D126:O126" si="63">+D48+D89</f>
        <v>1309709.3599999999</v>
      </c>
      <c r="E126" s="209">
        <f t="shared" si="63"/>
        <v>1151932.44</v>
      </c>
      <c r="F126" s="209">
        <f t="shared" si="63"/>
        <v>1140722.3900000001</v>
      </c>
      <c r="G126" s="209">
        <f t="shared" si="63"/>
        <v>1244987.5899999999</v>
      </c>
      <c r="H126" s="209">
        <f t="shared" si="63"/>
        <v>1253853.6400000001</v>
      </c>
      <c r="I126" s="209">
        <f t="shared" si="63"/>
        <v>1261198.76</v>
      </c>
      <c r="J126" s="209">
        <f t="shared" si="63"/>
        <v>1377341.62</v>
      </c>
      <c r="K126" s="209">
        <f t="shared" si="63"/>
        <v>1334720.98</v>
      </c>
      <c r="L126" s="209">
        <f t="shared" si="63"/>
        <v>1474493.96</v>
      </c>
      <c r="M126" s="209">
        <f t="shared" si="63"/>
        <v>1574460.2</v>
      </c>
      <c r="N126" s="209">
        <f t="shared" si="63"/>
        <v>1374382.78</v>
      </c>
      <c r="O126" s="209">
        <f t="shared" si="63"/>
        <v>1329255.77</v>
      </c>
      <c r="P126" s="209">
        <f t="shared" si="29"/>
        <v>15827059.49</v>
      </c>
      <c r="R126" s="129"/>
    </row>
    <row r="127" spans="2:18" x14ac:dyDescent="0.25">
      <c r="B127" s="418" t="s">
        <v>80</v>
      </c>
      <c r="C127" s="418"/>
      <c r="D127" s="143">
        <f>SUM(D122:D126)</f>
        <v>1345026.5599999998</v>
      </c>
      <c r="E127" s="143">
        <f t="shared" ref="E127:L127" si="64">SUM(E122:E126)</f>
        <v>1187641.24</v>
      </c>
      <c r="F127" s="143">
        <f t="shared" si="64"/>
        <v>1177400.6100000001</v>
      </c>
      <c r="G127" s="143">
        <f t="shared" si="64"/>
        <v>1284729.5499999998</v>
      </c>
      <c r="H127" s="143">
        <f t="shared" si="64"/>
        <v>1287417.04</v>
      </c>
      <c r="I127" s="143">
        <f t="shared" si="64"/>
        <v>1297586</v>
      </c>
      <c r="J127" s="143">
        <f t="shared" si="64"/>
        <v>1413147.09</v>
      </c>
      <c r="K127" s="143">
        <f t="shared" si="64"/>
        <v>1367289.6199999999</v>
      </c>
      <c r="L127" s="143">
        <f t="shared" si="64"/>
        <v>1503164.54</v>
      </c>
      <c r="M127" s="143">
        <f>SUM(M122:M126)</f>
        <v>1601512.9</v>
      </c>
      <c r="N127" s="143">
        <f>SUM(N122:N126)</f>
        <v>1402872.68</v>
      </c>
      <c r="O127" s="143">
        <f>SUM(O122:O126)</f>
        <v>1357712.37</v>
      </c>
      <c r="P127" s="143">
        <f>SUM(D127:O127)</f>
        <v>16225500.199999999</v>
      </c>
      <c r="R127" s="129"/>
    </row>
    <row r="128" spans="2:18" x14ac:dyDescent="0.25">
      <c r="B128" s="427" t="s">
        <v>88</v>
      </c>
      <c r="C128" s="428"/>
      <c r="D128" s="143">
        <f>D102+D109+D115+D121+D127</f>
        <v>24056496.769999996</v>
      </c>
      <c r="E128" s="143">
        <f t="shared" ref="E128:L128" si="65">E102+E109+E115+E121+E127</f>
        <v>22314549.109999999</v>
      </c>
      <c r="F128" s="143">
        <f t="shared" si="65"/>
        <v>24865137.190000001</v>
      </c>
      <c r="G128" s="143">
        <f t="shared" si="65"/>
        <v>23367717.370000005</v>
      </c>
      <c r="H128" s="143">
        <f t="shared" si="65"/>
        <v>23924855.119999997</v>
      </c>
      <c r="I128" s="143">
        <f t="shared" si="65"/>
        <v>24309387.879999999</v>
      </c>
      <c r="J128" s="143">
        <f t="shared" si="65"/>
        <v>24021469.090000004</v>
      </c>
      <c r="K128" s="143">
        <f>K102+K109+K115+K121+K127</f>
        <v>23424628.460000005</v>
      </c>
      <c r="L128" s="143">
        <f t="shared" si="65"/>
        <v>26733181.149999995</v>
      </c>
      <c r="M128" s="143">
        <f>M102+M109+M115+M121+M127</f>
        <v>25008451.799999993</v>
      </c>
      <c r="N128" s="143">
        <f>N102+N109+N115+N121+N127</f>
        <v>23744253.300000001</v>
      </c>
      <c r="O128" s="143">
        <f>O102+O109+O115+O121+O127</f>
        <v>23745313.370000005</v>
      </c>
      <c r="P128" s="143">
        <f>SUM(D128:O128)</f>
        <v>289515440.61000001</v>
      </c>
    </row>
    <row r="129" spans="2:18" x14ac:dyDescent="0.25">
      <c r="B129" s="427" t="s">
        <v>92</v>
      </c>
      <c r="C129" s="428"/>
      <c r="D129" s="143">
        <f>+D91+D54</f>
        <v>24145983.769999996</v>
      </c>
      <c r="E129" s="143">
        <f t="shared" ref="E129:L129" si="66">+E91+E54</f>
        <v>22367516.109999999</v>
      </c>
      <c r="F129" s="143">
        <f t="shared" si="66"/>
        <v>24910753.189999998</v>
      </c>
      <c r="G129" s="143">
        <f t="shared" si="66"/>
        <v>23409489.370000001</v>
      </c>
      <c r="H129" s="143">
        <f t="shared" si="66"/>
        <v>23975414.119999997</v>
      </c>
      <c r="I129" s="143">
        <f t="shared" si="66"/>
        <v>24339835.880000003</v>
      </c>
      <c r="J129" s="143">
        <f t="shared" si="66"/>
        <v>24049284.089999996</v>
      </c>
      <c r="K129" s="143">
        <f t="shared" si="66"/>
        <v>23447335.460000001</v>
      </c>
      <c r="L129" s="143">
        <f t="shared" si="66"/>
        <v>26785541.149999999</v>
      </c>
      <c r="M129" s="143">
        <f>+M91+M54</f>
        <v>25095622.800000001</v>
      </c>
      <c r="N129" s="143">
        <f>+N91+N54</f>
        <v>23808960.300000001</v>
      </c>
      <c r="O129" s="143">
        <f>+O91+O54</f>
        <v>23791092.369999997</v>
      </c>
      <c r="P129" s="221">
        <f>SUM(D129:O129)</f>
        <v>290126828.61000001</v>
      </c>
    </row>
    <row r="130" spans="2:18" x14ac:dyDescent="0.25">
      <c r="B130" s="146" t="s">
        <v>30</v>
      </c>
      <c r="P130" s="129"/>
      <c r="R130" s="129"/>
    </row>
    <row r="131" spans="2:18" x14ac:dyDescent="0.25">
      <c r="P131" s="129"/>
    </row>
    <row r="134" spans="2:18" hidden="1" x14ac:dyDescent="0.25"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</row>
  </sheetData>
  <mergeCells count="46">
    <mergeCell ref="E14:N14"/>
    <mergeCell ref="B127:C127"/>
    <mergeCell ref="B128:C128"/>
    <mergeCell ref="B129:C129"/>
    <mergeCell ref="B110:B114"/>
    <mergeCell ref="B115:C115"/>
    <mergeCell ref="B116:B120"/>
    <mergeCell ref="B121:C121"/>
    <mergeCell ref="B122:B126"/>
    <mergeCell ref="B94:P94"/>
    <mergeCell ref="B96:B101"/>
    <mergeCell ref="B102:C102"/>
    <mergeCell ref="B103:B108"/>
    <mergeCell ref="B109:C109"/>
    <mergeCell ref="B84:C84"/>
    <mergeCell ref="B85:B89"/>
    <mergeCell ref="B90:C90"/>
    <mergeCell ref="B91:C91"/>
    <mergeCell ref="B66:B71"/>
    <mergeCell ref="B72:C72"/>
    <mergeCell ref="B73:B77"/>
    <mergeCell ref="B78:C78"/>
    <mergeCell ref="B79:B83"/>
    <mergeCell ref="B16:P16"/>
    <mergeCell ref="B18:B23"/>
    <mergeCell ref="B24:C24"/>
    <mergeCell ref="B25:B30"/>
    <mergeCell ref="B31:C31"/>
    <mergeCell ref="B17:C17"/>
    <mergeCell ref="B8:P8"/>
    <mergeCell ref="B9:C9"/>
    <mergeCell ref="B10:C10"/>
    <mergeCell ref="B11:C11"/>
    <mergeCell ref="B12:C12"/>
    <mergeCell ref="B54:C54"/>
    <mergeCell ref="B57:P57"/>
    <mergeCell ref="B59:B64"/>
    <mergeCell ref="B65:C65"/>
    <mergeCell ref="B32:B36"/>
    <mergeCell ref="B37:C37"/>
    <mergeCell ref="B38:B42"/>
    <mergeCell ref="B43:C43"/>
    <mergeCell ref="B44:B48"/>
    <mergeCell ref="B50:C50"/>
    <mergeCell ref="B53:C53"/>
    <mergeCell ref="B49:C49"/>
  </mergeCells>
  <pageMargins left="0.511811024" right="0.511811024" top="0.78740157499999996" bottom="0.78740157499999996" header="0.31496062000000002" footer="0.31496062000000002"/>
  <pageSetup paperSize="9"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3" tint="-0.249977111117893"/>
  </sheetPr>
  <dimension ref="A1:S43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9.140625" customWidth="1"/>
    <col min="2" max="2" width="45" customWidth="1"/>
    <col min="3" max="3" width="19.28515625" customWidth="1"/>
    <col min="4" max="5" width="9.140625" customWidth="1"/>
    <col min="6" max="6" width="19.140625" style="6" bestFit="1" customWidth="1"/>
    <col min="7" max="7" width="27.7109375" style="6" customWidth="1"/>
    <col min="8" max="8" width="16.7109375" style="6" customWidth="1"/>
    <col min="9" max="9" width="3.42578125" customWidth="1"/>
    <col min="10" max="10" width="4.85546875" customWidth="1"/>
    <col min="11" max="11" width="18.5703125" bestFit="1" customWidth="1"/>
    <col min="12" max="12" width="3.28515625" customWidth="1"/>
    <col min="13" max="13" width="18.5703125" bestFit="1" customWidth="1"/>
    <col min="14" max="14" width="16.85546875" bestFit="1" customWidth="1"/>
    <col min="15" max="15" width="15.7109375" bestFit="1" customWidth="1"/>
    <col min="16" max="16" width="6.42578125" customWidth="1"/>
    <col min="17" max="18" width="9.140625" customWidth="1"/>
    <col min="19" max="19" width="3" customWidth="1"/>
    <col min="20" max="16384" width="9.140625" hidden="1"/>
  </cols>
  <sheetData>
    <row r="1" spans="2:14" s="6" customFormat="1" ht="3" customHeight="1" x14ac:dyDescent="0.25"/>
    <row r="2" spans="2:14" s="6" customFormat="1" ht="14.25" x14ac:dyDescent="0.25"/>
    <row r="3" spans="2:14" s="258" customFormat="1" ht="18" customHeight="1" x14ac:dyDescent="0.25">
      <c r="G3" s="259"/>
      <c r="H3" s="259"/>
      <c r="I3" s="259"/>
      <c r="J3" s="259"/>
    </row>
    <row r="4" spans="2:14" s="258" customFormat="1" ht="15" customHeight="1" x14ac:dyDescent="0.25">
      <c r="G4" s="259"/>
      <c r="H4" s="259"/>
      <c r="I4" s="259"/>
      <c r="J4" s="259"/>
    </row>
    <row r="5" spans="2:14" s="258" customFormat="1" ht="21" customHeight="1" x14ac:dyDescent="0.25">
      <c r="G5" s="259"/>
      <c r="H5" s="259"/>
      <c r="I5" s="259"/>
      <c r="J5" s="259"/>
    </row>
    <row r="6" spans="2:14" s="6" customFormat="1" ht="18" customHeight="1" x14ac:dyDescent="0.25">
      <c r="G6" s="178"/>
      <c r="H6" s="178"/>
      <c r="I6" s="178"/>
      <c r="J6" s="178"/>
    </row>
    <row r="7" spans="2:14" s="6" customFormat="1" ht="15" customHeight="1" x14ac:dyDescent="0.25">
      <c r="B7" s="229" t="s">
        <v>95</v>
      </c>
      <c r="C7" s="229"/>
      <c r="D7" s="229"/>
      <c r="E7" s="229"/>
      <c r="F7" s="229"/>
      <c r="G7" s="178"/>
      <c r="H7" s="178"/>
      <c r="N7" s="15"/>
    </row>
    <row r="8" spans="2:14" s="6" customFormat="1" ht="15" customHeight="1" x14ac:dyDescent="0.25">
      <c r="E8" s="229"/>
      <c r="F8" s="229"/>
      <c r="G8" s="359"/>
      <c r="N8" s="15"/>
    </row>
    <row r="9" spans="2:14" s="6" customFormat="1" ht="18" customHeight="1" x14ac:dyDescent="0.25">
      <c r="B9" s="246" t="s">
        <v>96</v>
      </c>
      <c r="C9" s="247" t="s">
        <v>97</v>
      </c>
    </row>
    <row r="10" spans="2:14" s="6" customFormat="1" ht="18" customHeight="1" x14ac:dyDescent="0.25">
      <c r="B10" s="244" t="s">
        <v>98</v>
      </c>
      <c r="C10" s="245">
        <v>0.01</v>
      </c>
      <c r="I10" s="16"/>
    </row>
    <row r="11" spans="2:14" s="6" customFormat="1" ht="18" customHeight="1" x14ac:dyDescent="0.25">
      <c r="B11" s="244" t="s">
        <v>99</v>
      </c>
      <c r="C11" s="245">
        <v>2.5000000000000001E-2</v>
      </c>
      <c r="I11" s="15"/>
    </row>
    <row r="12" spans="2:14" s="6" customFormat="1" ht="15" customHeight="1" x14ac:dyDescent="0.25">
      <c r="B12" s="36"/>
      <c r="C12" s="37"/>
    </row>
    <row r="13" spans="2:14" s="7" customFormat="1" ht="18" customHeight="1" x14ac:dyDescent="0.25">
      <c r="B13" s="430" t="s">
        <v>100</v>
      </c>
      <c r="C13" s="430"/>
      <c r="D13" s="6"/>
      <c r="E13" s="6"/>
      <c r="F13" s="6"/>
      <c r="G13" s="6"/>
    </row>
    <row r="14" spans="2:14" s="6" customFormat="1" ht="18" customHeight="1" x14ac:dyDescent="0.25">
      <c r="B14" s="348" t="s">
        <v>101</v>
      </c>
      <c r="C14" s="349">
        <f>+Volume_2021!P54</f>
        <v>155836021</v>
      </c>
    </row>
    <row r="15" spans="2:14" s="6" customFormat="1" ht="18" customHeight="1" x14ac:dyDescent="0.25">
      <c r="B15" s="243" t="s">
        <v>102</v>
      </c>
      <c r="C15" s="253">
        <f>+Volume_2021!P91</f>
        <v>134290807.60999998</v>
      </c>
    </row>
    <row r="16" spans="2:14" s="6" customFormat="1" ht="18" customHeight="1" x14ac:dyDescent="0.25">
      <c r="B16" s="204" t="s">
        <v>103</v>
      </c>
      <c r="C16" s="253">
        <f>Volume_2021!P54+Volume_2021!P91</f>
        <v>290126828.61000001</v>
      </c>
      <c r="E16" s="14"/>
    </row>
    <row r="17" spans="2:10" s="6" customFormat="1" ht="18" customHeight="1" x14ac:dyDescent="0.25">
      <c r="B17" s="204" t="s">
        <v>104</v>
      </c>
      <c r="C17" s="253">
        <f>'CF - 2022'!P35</f>
        <v>1774343238.99</v>
      </c>
    </row>
    <row r="18" spans="2:10" s="7" customFormat="1" ht="18" customHeight="1" x14ac:dyDescent="0.25">
      <c r="B18" s="248" t="s">
        <v>105</v>
      </c>
      <c r="C18" s="249">
        <f>C10*C17</f>
        <v>17743432.389899999</v>
      </c>
      <c r="D18" s="6"/>
      <c r="E18" s="6"/>
      <c r="F18" s="14"/>
      <c r="G18" s="6"/>
      <c r="I18" s="6"/>
      <c r="J18" s="6"/>
    </row>
    <row r="19" spans="2:10" s="6" customFormat="1" ht="9" customHeight="1" x14ac:dyDescent="0.25">
      <c r="B19" s="36"/>
      <c r="C19" s="37"/>
    </row>
    <row r="20" spans="2:10" s="6" customFormat="1" ht="18" customHeight="1" x14ac:dyDescent="0.25">
      <c r="B20" s="431" t="s">
        <v>106</v>
      </c>
      <c r="C20" s="431"/>
    </row>
    <row r="21" spans="2:10" s="6" customFormat="1" ht="18" customHeight="1" x14ac:dyDescent="0.25">
      <c r="B21" s="348" t="s">
        <v>107</v>
      </c>
      <c r="C21" s="349">
        <f>Volume_2021!P10</f>
        <v>254016263</v>
      </c>
    </row>
    <row r="22" spans="2:10" s="6" customFormat="1" ht="18" customHeight="1" x14ac:dyDescent="0.25">
      <c r="B22" s="243" t="s">
        <v>108</v>
      </c>
      <c r="C22" s="253">
        <f>Volume_2021!P11</f>
        <v>134901609</v>
      </c>
    </row>
    <row r="23" spans="2:10" s="6" customFormat="1" ht="18" customHeight="1" x14ac:dyDescent="0.25">
      <c r="B23" s="204" t="s">
        <v>109</v>
      </c>
      <c r="C23" s="253">
        <f>SUM(C21:C22)</f>
        <v>388917872</v>
      </c>
      <c r="H23" s="15"/>
    </row>
    <row r="24" spans="2:10" s="6" customFormat="1" ht="18" customHeight="1" x14ac:dyDescent="0.25">
      <c r="B24" s="204" t="s">
        <v>110</v>
      </c>
      <c r="C24" s="253">
        <f>'CF - 2022'!P36</f>
        <v>2377676571.9704194</v>
      </c>
      <c r="G24" s="381"/>
    </row>
    <row r="25" spans="2:10" s="6" customFormat="1" x14ac:dyDescent="0.25">
      <c r="B25" s="248" t="s">
        <v>111</v>
      </c>
      <c r="C25" s="249">
        <f>C11*C24</f>
        <v>59441914.29926049</v>
      </c>
      <c r="E25" s="350"/>
      <c r="F25" s="15"/>
      <c r="G25" s="15"/>
    </row>
    <row r="26" spans="2:10" s="6" customFormat="1" ht="9" customHeight="1" x14ac:dyDescent="0.25">
      <c r="B26" s="36"/>
      <c r="C26" s="37"/>
      <c r="E26" s="107"/>
    </row>
    <row r="27" spans="2:10" s="6" customFormat="1" x14ac:dyDescent="0.25">
      <c r="B27" s="250" t="s">
        <v>112</v>
      </c>
      <c r="C27" s="249">
        <v>60000</v>
      </c>
      <c r="E27" s="107"/>
    </row>
    <row r="28" spans="2:10" s="6" customFormat="1" ht="9" customHeight="1" x14ac:dyDescent="0.25">
      <c r="B28" s="36"/>
      <c r="C28" s="37"/>
    </row>
    <row r="29" spans="2:10" s="6" customFormat="1" ht="30" x14ac:dyDescent="0.25">
      <c r="B29" s="251" t="s">
        <v>113</v>
      </c>
      <c r="C29" s="252">
        <v>12300000</v>
      </c>
      <c r="E29" s="92"/>
    </row>
    <row r="30" spans="2:10" s="6" customFormat="1" ht="28.9" customHeight="1" x14ac:dyDescent="0.25">
      <c r="B30" s="251" t="s">
        <v>114</v>
      </c>
      <c r="C30" s="252">
        <v>3823401</v>
      </c>
      <c r="E30" s="92"/>
    </row>
    <row r="31" spans="2:10" s="6" customFormat="1" ht="9" customHeight="1" x14ac:dyDescent="0.25">
      <c r="B31" s="346"/>
      <c r="C31" s="347"/>
    </row>
    <row r="32" spans="2:10" s="6" customFormat="1" ht="28.9" customHeight="1" x14ac:dyDescent="0.25">
      <c r="B32" s="251" t="s">
        <v>115</v>
      </c>
      <c r="C32" s="252">
        <f>(F33*0.2%)</f>
        <v>3462999.43854</v>
      </c>
      <c r="F32" s="241" t="s">
        <v>116</v>
      </c>
      <c r="G32" s="188"/>
      <c r="H32" s="107"/>
    </row>
    <row r="33" spans="2:15" s="6" customFormat="1" ht="15.75" customHeight="1" x14ac:dyDescent="0.25">
      <c r="B33" s="36"/>
      <c r="C33" s="37"/>
      <c r="F33" s="254">
        <v>1731499719.27</v>
      </c>
      <c r="G33" s="255"/>
    </row>
    <row r="34" spans="2:15" s="6" customFormat="1" ht="28.9" customHeight="1" x14ac:dyDescent="0.25">
      <c r="B34" s="250" t="s">
        <v>117</v>
      </c>
      <c r="C34" s="249">
        <f>C18+C25+C27+C29+C30+C32</f>
        <v>96831747.127700493</v>
      </c>
    </row>
    <row r="35" spans="2:15" s="6" customFormat="1" ht="9" customHeight="1" x14ac:dyDescent="0.25">
      <c r="B35" s="36"/>
      <c r="C35" s="37"/>
    </row>
    <row r="36" spans="2:15" s="6" customFormat="1" ht="28.9" customHeight="1" x14ac:dyDescent="0.25">
      <c r="B36" s="432" t="s">
        <v>118</v>
      </c>
      <c r="C36" s="432"/>
    </row>
    <row r="37" spans="2:15" s="6" customFormat="1" ht="18" customHeight="1" x14ac:dyDescent="0.25">
      <c r="B37" s="242" t="s">
        <v>119</v>
      </c>
      <c r="C37" s="257">
        <f>C34/C16</f>
        <v>0.33375661117457556</v>
      </c>
    </row>
    <row r="38" spans="2:15" s="6" customFormat="1" x14ac:dyDescent="0.25">
      <c r="B38"/>
      <c r="C38"/>
      <c r="D38"/>
    </row>
    <row r="39" spans="2:15" s="6" customFormat="1" ht="9" customHeight="1" x14ac:dyDescent="0.25">
      <c r="B39"/>
      <c r="C39"/>
      <c r="D39"/>
      <c r="H39"/>
    </row>
    <row r="40" spans="2:15" s="6" customFormat="1" x14ac:dyDescent="0.25">
      <c r="B40"/>
      <c r="C40"/>
      <c r="D40"/>
      <c r="G40" s="17"/>
      <c r="H40" s="17"/>
    </row>
    <row r="41" spans="2:15" s="6" customFormat="1" ht="15" customHeight="1" x14ac:dyDescent="0.25">
      <c r="B41"/>
      <c r="C41"/>
      <c r="D41"/>
      <c r="G41" s="25"/>
      <c r="H41" s="17"/>
      <c r="K41"/>
      <c r="L41"/>
      <c r="N41"/>
      <c r="O41"/>
    </row>
    <row r="42" spans="2:15" hidden="1" x14ac:dyDescent="0.25">
      <c r="F42"/>
    </row>
    <row r="43" spans="2:15" hidden="1" x14ac:dyDescent="0.25">
      <c r="F43"/>
    </row>
  </sheetData>
  <mergeCells count="3">
    <mergeCell ref="B13:C13"/>
    <mergeCell ref="B20:C20"/>
    <mergeCell ref="B36:C36"/>
  </mergeCells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AB84-9B60-4FC5-9826-8C5FC1F35B68}">
  <sheetPr codeName="Planilha11">
    <tabColor theme="3" tint="-0.249977111117893"/>
  </sheetPr>
  <dimension ref="A1:N43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9.140625" style="1" customWidth="1"/>
    <col min="2" max="2" width="36.7109375" style="1" bestFit="1" customWidth="1"/>
    <col min="3" max="3" width="17.28515625" style="1" customWidth="1"/>
    <col min="4" max="4" width="16.7109375" style="1" customWidth="1"/>
    <col min="5" max="5" width="14" style="1" customWidth="1"/>
    <col min="6" max="6" width="13.5703125" style="1" customWidth="1"/>
    <col min="7" max="7" width="18.140625" style="1" customWidth="1"/>
    <col min="8" max="8" width="19" style="1" bestFit="1" customWidth="1"/>
    <col min="9" max="9" width="58" customWidth="1"/>
    <col min="10" max="10" width="18.85546875" bestFit="1" customWidth="1"/>
    <col min="11" max="11" width="15.5703125" bestFit="1" customWidth="1"/>
    <col min="12" max="12" width="10.28515625" customWidth="1"/>
    <col min="13" max="13" width="21.140625" customWidth="1"/>
    <col min="14" max="14" width="20.85546875" hidden="1" customWidth="1"/>
    <col min="15" max="16384" width="9.140625" hidden="1"/>
  </cols>
  <sheetData>
    <row r="1" spans="1:13" s="1" customFormat="1" ht="3" customHeight="1" x14ac:dyDescent="0.2"/>
    <row r="2" spans="1:13" s="1" customFormat="1" ht="15" customHeight="1" x14ac:dyDescent="0.2"/>
    <row r="3" spans="1:13" s="1" customFormat="1" ht="15" customHeight="1" x14ac:dyDescent="0.2">
      <c r="A3" s="300"/>
      <c r="B3" s="300"/>
      <c r="C3" s="304"/>
      <c r="D3" s="304"/>
      <c r="E3" s="304"/>
      <c r="F3" s="304"/>
      <c r="G3" s="304"/>
      <c r="H3" s="304"/>
      <c r="I3" s="300"/>
      <c r="J3" s="300"/>
      <c r="K3" s="300"/>
      <c r="L3" s="300"/>
      <c r="M3" s="300"/>
    </row>
    <row r="4" spans="1:13" s="1" customFormat="1" ht="15" customHeight="1" x14ac:dyDescent="0.2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1:13" s="1" customFormat="1" ht="20.100000000000001" customHeight="1" x14ac:dyDescent="0.2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6" spans="1:13" s="1" customFormat="1" ht="15" customHeight="1" x14ac:dyDescent="0.2"/>
    <row r="7" spans="1:13" s="1" customFormat="1" ht="15" customHeight="1" x14ac:dyDescent="0.2">
      <c r="B7" s="229" t="s">
        <v>120</v>
      </c>
      <c r="C7" s="2"/>
      <c r="D7" s="2"/>
      <c r="E7" s="2"/>
      <c r="F7" s="2"/>
    </row>
    <row r="8" spans="1:13" s="1" customFormat="1" ht="15" customHeight="1" x14ac:dyDescent="0.2">
      <c r="B8" s="433"/>
      <c r="C8" s="433"/>
      <c r="D8" s="433"/>
      <c r="E8" s="433"/>
      <c r="F8" s="433"/>
    </row>
    <row r="9" spans="1:13" s="1" customFormat="1" ht="15" customHeight="1" x14ac:dyDescent="0.25">
      <c r="B9" s="434" t="s">
        <v>121</v>
      </c>
      <c r="C9" s="434"/>
      <c r="D9" s="434"/>
      <c r="E9" s="434"/>
      <c r="F9" s="434"/>
      <c r="G9" s="434"/>
    </row>
    <row r="10" spans="1:13" s="1" customFormat="1" ht="15" customHeight="1" x14ac:dyDescent="0.2">
      <c r="B10" s="135"/>
      <c r="C10" s="135" t="s">
        <v>32</v>
      </c>
      <c r="D10" s="135" t="s">
        <v>122</v>
      </c>
      <c r="E10" s="135" t="s">
        <v>123</v>
      </c>
      <c r="F10" s="135" t="s">
        <v>124</v>
      </c>
      <c r="G10" s="135" t="s">
        <v>125</v>
      </c>
    </row>
    <row r="11" spans="1:13" s="8" customFormat="1" ht="15" customHeight="1" x14ac:dyDescent="0.25">
      <c r="B11" s="261" t="s">
        <v>126</v>
      </c>
      <c r="C11" s="262" t="s">
        <v>127</v>
      </c>
      <c r="D11" s="263">
        <v>515403108.97827083</v>
      </c>
      <c r="E11" s="271">
        <f>D11/$D$16</f>
        <v>0.3610263310934741</v>
      </c>
      <c r="F11" s="271">
        <f>Índices_2021!E23</f>
        <v>0.1016024821158541</v>
      </c>
      <c r="G11" s="272">
        <f>E11*F11</f>
        <v>3.6681171348277121E-2</v>
      </c>
    </row>
    <row r="12" spans="1:13" s="8" customFormat="1" ht="15" customHeight="1" x14ac:dyDescent="0.25">
      <c r="B12" s="261" t="s">
        <v>128</v>
      </c>
      <c r="C12" s="262" t="s">
        <v>129</v>
      </c>
      <c r="D12" s="263">
        <v>135923148.23295999</v>
      </c>
      <c r="E12" s="271">
        <f t="shared" ref="E12:E14" si="0">D12/$D$16</f>
        <v>9.5210592762040969E-2</v>
      </c>
      <c r="F12" s="271">
        <f>Índices_2021!H49</f>
        <v>0.2164078528669735</v>
      </c>
      <c r="G12" s="272">
        <f t="shared" ref="G12:G15" si="1">E12*F12</f>
        <v>2.0604319949825093E-2</v>
      </c>
    </row>
    <row r="13" spans="1:13" s="8" customFormat="1" ht="15" customHeight="1" x14ac:dyDescent="0.25">
      <c r="B13" s="261" t="s">
        <v>130</v>
      </c>
      <c r="C13" s="262" t="s">
        <v>131</v>
      </c>
      <c r="D13" s="263">
        <v>73053331.884937555</v>
      </c>
      <c r="E13" s="271">
        <f t="shared" si="0"/>
        <v>5.117193886714571E-2</v>
      </c>
      <c r="F13" s="271">
        <f>Índices_2021!G23</f>
        <v>0.17783212339450416</v>
      </c>
      <c r="G13" s="272">
        <f t="shared" si="1"/>
        <v>9.100014546958279E-3</v>
      </c>
    </row>
    <row r="14" spans="1:13" s="8" customFormat="1" ht="15" customHeight="1" x14ac:dyDescent="0.25">
      <c r="B14" s="264" t="s">
        <v>132</v>
      </c>
      <c r="C14" s="265" t="s">
        <v>133</v>
      </c>
      <c r="D14" s="270">
        <v>421844752.47166598</v>
      </c>
      <c r="E14" s="271">
        <f t="shared" si="0"/>
        <v>0.29549116142856074</v>
      </c>
      <c r="F14" s="271">
        <f>Índices_2021!G23</f>
        <v>0.17783212339450416</v>
      </c>
      <c r="G14" s="272">
        <f t="shared" si="1"/>
        <v>5.254782068114916E-2</v>
      </c>
    </row>
    <row r="15" spans="1:13" s="8" customFormat="1" ht="15" customHeight="1" x14ac:dyDescent="0.25">
      <c r="B15" s="264" t="s">
        <v>134</v>
      </c>
      <c r="C15" s="265" t="s">
        <v>135</v>
      </c>
      <c r="D15" s="263">
        <v>281380973.02853155</v>
      </c>
      <c r="E15" s="271">
        <f>D15/$D$16</f>
        <v>0.1970999758487785</v>
      </c>
      <c r="F15" s="273">
        <f>Índices_2021!F23</f>
        <v>0.10060982737443336</v>
      </c>
      <c r="G15" s="272">
        <f t="shared" si="1"/>
        <v>1.983019454565059E-2</v>
      </c>
    </row>
    <row r="16" spans="1:13" s="8" customFormat="1" ht="15" customHeight="1" x14ac:dyDescent="0.25">
      <c r="B16" s="264"/>
      <c r="C16" s="266" t="s">
        <v>69</v>
      </c>
      <c r="D16" s="267">
        <f>SUM(D11:D15)</f>
        <v>1427605314.5963659</v>
      </c>
      <c r="E16" s="271">
        <f>SUM(E11:E15)</f>
        <v>0.99999999999999989</v>
      </c>
      <c r="F16" s="260"/>
      <c r="G16" s="260">
        <f>SUM(G11:G15)</f>
        <v>0.13876352107186024</v>
      </c>
    </row>
    <row r="17" spans="1:11" s="8" customFormat="1" ht="25.5" customHeight="1" x14ac:dyDescent="0.25">
      <c r="B17" s="435" t="s">
        <v>136</v>
      </c>
      <c r="C17" s="435"/>
      <c r="D17" s="435"/>
      <c r="E17" s="435"/>
      <c r="F17" s="435"/>
      <c r="G17" s="274">
        <f>SUM(G11:G15)</f>
        <v>0.13876352107186024</v>
      </c>
      <c r="H17" s="123"/>
    </row>
    <row r="18" spans="1:11" s="8" customFormat="1" ht="15" customHeight="1" x14ac:dyDescent="0.25">
      <c r="B18" s="146" t="s">
        <v>137</v>
      </c>
      <c r="C18" s="275" t="s">
        <v>138</v>
      </c>
      <c r="D18" s="276"/>
      <c r="E18" s="277">
        <f>SUM(E13:E14)</f>
        <v>0.34666310029570646</v>
      </c>
      <c r="F18" s="337"/>
      <c r="G18" s="336"/>
    </row>
    <row r="19" spans="1:11" s="8" customFormat="1" ht="15" customHeight="1" x14ac:dyDescent="0.25">
      <c r="B19" s="338"/>
      <c r="C19" s="338"/>
      <c r="D19" s="338"/>
      <c r="E19" s="338"/>
      <c r="F19" s="338"/>
      <c r="G19" s="338"/>
    </row>
    <row r="20" spans="1:11" s="8" customFormat="1" ht="15" customHeight="1" x14ac:dyDescent="0.2">
      <c r="B20" s="435" t="s">
        <v>139</v>
      </c>
      <c r="C20" s="436"/>
      <c r="D20" s="336"/>
      <c r="E20" s="336"/>
      <c r="F20" s="336"/>
      <c r="G20" s="336"/>
      <c r="H20" s="106"/>
      <c r="I20" s="106"/>
      <c r="J20" s="106"/>
      <c r="K20" s="106"/>
    </row>
    <row r="21" spans="1:11" s="8" customFormat="1" ht="15" customHeight="1" x14ac:dyDescent="0.25">
      <c r="B21" s="242" t="s">
        <v>140</v>
      </c>
      <c r="C21" s="268">
        <f>+G17</f>
        <v>0.13876352107186024</v>
      </c>
      <c r="D21" s="339"/>
      <c r="E21" s="339"/>
      <c r="F21" s="339"/>
      <c r="G21" s="339"/>
      <c r="H21" s="106"/>
      <c r="I21" s="106"/>
      <c r="J21" s="106"/>
      <c r="K21" s="106"/>
    </row>
    <row r="22" spans="1:11" s="8" customFormat="1" ht="15" customHeight="1" x14ac:dyDescent="0.25">
      <c r="B22" s="242" t="s">
        <v>141</v>
      </c>
      <c r="C22" s="269">
        <v>1.3838629999999999E-2</v>
      </c>
      <c r="D22" s="339"/>
      <c r="E22" s="339"/>
      <c r="F22" s="339"/>
      <c r="G22" s="339"/>
      <c r="H22" s="106"/>
      <c r="I22" s="106"/>
      <c r="J22" s="106"/>
      <c r="K22" s="106"/>
    </row>
    <row r="23" spans="1:11" s="1" customFormat="1" ht="15" customHeight="1" x14ac:dyDescent="0.2">
      <c r="B23" s="248" t="s">
        <v>142</v>
      </c>
      <c r="C23" s="177">
        <f>C21-C22</f>
        <v>0.12492489107186024</v>
      </c>
      <c r="D23" s="339"/>
      <c r="E23" s="339"/>
      <c r="F23" s="339"/>
      <c r="G23" s="339"/>
    </row>
    <row r="24" spans="1:11" ht="15" customHeight="1" x14ac:dyDescent="0.25">
      <c r="B24" s="340"/>
      <c r="C24" s="340"/>
      <c r="D24" s="336"/>
      <c r="E24" s="336"/>
      <c r="F24" s="336"/>
      <c r="G24" s="336"/>
      <c r="I24" s="4"/>
      <c r="J24" s="4"/>
      <c r="K24" s="4"/>
    </row>
    <row r="25" spans="1:11" ht="15" customHeight="1" x14ac:dyDescent="0.25">
      <c r="A25" s="8"/>
      <c r="B25" s="435" t="s">
        <v>143</v>
      </c>
      <c r="C25" s="435"/>
      <c r="D25" s="336"/>
      <c r="E25" s="336"/>
      <c r="F25" s="336"/>
      <c r="G25" s="336"/>
      <c r="I25" s="4"/>
    </row>
    <row r="26" spans="1:11" ht="15" customHeight="1" x14ac:dyDescent="0.25">
      <c r="A26" s="8"/>
      <c r="B26" s="242" t="s">
        <v>144</v>
      </c>
      <c r="C26" s="256">
        <f>+'RTA 2022'!D12</f>
        <v>4.9697293506796534</v>
      </c>
      <c r="D26" s="336"/>
      <c r="E26" s="336"/>
      <c r="F26" s="336"/>
      <c r="G26" s="336"/>
      <c r="I26" s="5"/>
    </row>
    <row r="27" spans="1:11" ht="15" customHeight="1" x14ac:dyDescent="0.25">
      <c r="A27" s="8"/>
      <c r="B27" s="242" t="s">
        <v>145</v>
      </c>
      <c r="C27" s="256">
        <f>C26*(1+C23)</f>
        <v>5.5905722484699361</v>
      </c>
      <c r="D27" s="336"/>
      <c r="E27" s="336"/>
      <c r="F27" s="336"/>
      <c r="G27" s="336"/>
    </row>
    <row r="28" spans="1:11" ht="15" customHeight="1" x14ac:dyDescent="0.25">
      <c r="B28" s="332"/>
      <c r="C28" s="332"/>
      <c r="D28" s="332"/>
      <c r="E28" s="332"/>
      <c r="F28" s="332"/>
      <c r="G28" s="332"/>
    </row>
    <row r="29" spans="1:11" ht="15" customHeight="1" x14ac:dyDescent="0.25">
      <c r="B29" s="332"/>
      <c r="C29" s="333"/>
      <c r="D29" s="332"/>
      <c r="E29" s="332"/>
      <c r="F29" s="332"/>
      <c r="G29" s="332"/>
    </row>
    <row r="30" spans="1:11" ht="15" customHeight="1" x14ac:dyDescent="0.25">
      <c r="B30" s="334"/>
      <c r="C30" s="335"/>
      <c r="D30" s="332"/>
      <c r="E30" s="332"/>
      <c r="F30" s="332"/>
      <c r="G30" s="332"/>
    </row>
    <row r="31" spans="1:11" ht="15" customHeight="1" x14ac:dyDescent="0.25">
      <c r="B31" s="29"/>
      <c r="C31" s="31"/>
    </row>
    <row r="32" spans="1:11" ht="15" customHeight="1" x14ac:dyDescent="0.25">
      <c r="B32" s="29"/>
      <c r="C32" s="30"/>
    </row>
    <row r="33" spans="2:4" s="1" customFormat="1" ht="15" customHeight="1" x14ac:dyDescent="0.2">
      <c r="B33" s="29"/>
      <c r="C33" s="32"/>
    </row>
    <row r="34" spans="2:4" s="1" customFormat="1" ht="15" customHeight="1" x14ac:dyDescent="0.2"/>
    <row r="35" spans="2:4" s="1" customFormat="1" ht="15" customHeight="1" x14ac:dyDescent="0.2"/>
    <row r="36" spans="2:4" s="1" customFormat="1" ht="15" hidden="1" customHeight="1" x14ac:dyDescent="0.2"/>
    <row r="39" spans="2:4" s="1" customFormat="1" ht="14.25" hidden="1" x14ac:dyDescent="0.2">
      <c r="D39" s="20"/>
    </row>
    <row r="40" spans="2:4" s="1" customFormat="1" ht="14.25" hidden="1" x14ac:dyDescent="0.2">
      <c r="D40" s="20"/>
    </row>
    <row r="41" spans="2:4" s="1" customFormat="1" ht="14.25" hidden="1" x14ac:dyDescent="0.2">
      <c r="D41" s="20"/>
    </row>
    <row r="42" spans="2:4" s="1" customFormat="1" ht="14.25" hidden="1" x14ac:dyDescent="0.2">
      <c r="D42" s="20"/>
    </row>
    <row r="43" spans="2:4" s="1" customFormat="1" ht="14.25" hidden="1" x14ac:dyDescent="0.2">
      <c r="D43" s="20"/>
    </row>
  </sheetData>
  <mergeCells count="5">
    <mergeCell ref="B8:F8"/>
    <mergeCell ref="B9:G9"/>
    <mergeCell ref="B17:F17"/>
    <mergeCell ref="B20:C20"/>
    <mergeCell ref="B25:C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520b24-8996-453a-8c5e-60294695dd12">
      <UserInfo>
        <DisplayName>Cássio Leandro Cossenzo</DisplayName>
        <AccountId>20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5FB8F595771546BCC83FFC58F4EB83" ma:contentTypeVersion="11" ma:contentTypeDescription="Crie um novo documento." ma:contentTypeScope="" ma:versionID="76ba53ca9fadd35c6745c8cc42985bdd">
  <xsd:schema xmlns:xsd="http://www.w3.org/2001/XMLSchema" xmlns:xs="http://www.w3.org/2001/XMLSchema" xmlns:p="http://schemas.microsoft.com/office/2006/metadata/properties" xmlns:ns2="4b520b24-8996-453a-8c5e-60294695dd12" xmlns:ns3="12eaf6f9-417e-4436-811b-51d381a4d0a9" targetNamespace="http://schemas.microsoft.com/office/2006/metadata/properties" ma:root="true" ma:fieldsID="173c5b1c01ad86b5cab77451775ceb03" ns2:_="" ns3:_="">
    <xsd:import namespace="4b520b24-8996-453a-8c5e-60294695dd12"/>
    <xsd:import namespace="12eaf6f9-417e-4436-811b-51d381a4d0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20b24-8996-453a-8c5e-60294695dd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af6f9-417e-4436-811b-51d381a4d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5C07B-A263-424C-869C-57429B3A7A91}">
  <ds:schemaRefs>
    <ds:schemaRef ds:uri="4b520b24-8996-453a-8c5e-60294695dd12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2eaf6f9-417e-4436-811b-51d381a4d0a9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6AA5D87-1DA4-429A-9BD0-6E4C302EE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20b24-8996-453a-8c5e-60294695dd12"/>
    <ds:schemaRef ds:uri="12eaf6f9-417e-4436-811b-51d381a4d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F9B725-14FE-4C9C-A0D1-54DA2891A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3</vt:i4>
      </vt:variant>
    </vt:vector>
  </HeadingPairs>
  <TitlesOfParts>
    <vt:vector size="19" baseType="lpstr">
      <vt:lpstr>Fórmulas</vt:lpstr>
      <vt:lpstr>Parâmetros</vt:lpstr>
      <vt:lpstr>Índices_2021</vt:lpstr>
      <vt:lpstr>Índices_2021 - Gráfico</vt:lpstr>
      <vt:lpstr>Bônus-Desconto</vt:lpstr>
      <vt:lpstr>Bônus-Desconto - Gráfico</vt:lpstr>
      <vt:lpstr>Volume_2021</vt:lpstr>
      <vt:lpstr>VPA 2022</vt:lpstr>
      <vt:lpstr>VPB 2022 </vt:lpstr>
      <vt:lpstr>VPB 2022 - Gráficos</vt:lpstr>
      <vt:lpstr>CF - 2022</vt:lpstr>
      <vt:lpstr>CF - Outros 2022</vt:lpstr>
      <vt:lpstr>Tarifa de Contingência</vt:lpstr>
      <vt:lpstr>RTA 2022</vt:lpstr>
      <vt:lpstr>Tarifas 2022</vt:lpstr>
      <vt:lpstr>RTP 2020</vt:lpstr>
      <vt:lpstr>'RTA 2022'!Area_de_impressao</vt:lpstr>
      <vt:lpstr>'Tarifa de Contingência'!Area_de_impressao</vt:lpstr>
      <vt:lpstr>'Tarifas 2022'!Area_de_impressao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cassio.leandro</dc:creator>
  <cp:keywords/>
  <dc:description/>
  <cp:lastModifiedBy>jessica</cp:lastModifiedBy>
  <cp:revision/>
  <dcterms:created xsi:type="dcterms:W3CDTF">2013-12-30T11:25:26Z</dcterms:created>
  <dcterms:modified xsi:type="dcterms:W3CDTF">2022-03-17T13:58:20Z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0x010100695FB8F595771546BCC83FFC58F4EB83</vt:lpwstr>
  </property>
  <property fmtid="{D5CDD505-2E9C-101B-9397-08002B2CF9AE}" pid="3" name="AuthorIds_UIVersion_8192">
    <vt:lpwstr>165</vt:lpwstr>
  </property>
</Properties>
</file>