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C:\Users\luciana.junho\Documents\"/>
    </mc:Choice>
  </mc:AlternateContent>
  <xr:revisionPtr revIDLastSave="0" documentId="8_{6A1BD2BC-AF4E-4E85-98AB-42D54512307B}" xr6:coauthVersionLast="41" xr6:coauthVersionMax="41" xr10:uidLastSave="{00000000-0000-0000-0000-000000000000}"/>
  <bookViews>
    <workbookView xWindow="-120" yWindow="-120" windowWidth="29040" windowHeight="15840" tabRatio="643" xr2:uid="{00000000-000D-0000-FFFF-FFFF00000000}"/>
  </bookViews>
  <sheets>
    <sheet name="Fórmulas" sheetId="19" r:id="rId1"/>
    <sheet name="Indices_2018" sheetId="2" r:id="rId2"/>
    <sheet name="Volume_2018" sheetId="4" r:id="rId3"/>
    <sheet name="Bonus Desconto" sheetId="6" r:id="rId4"/>
    <sheet name="VPA 2019" sheetId="13" r:id="rId5"/>
    <sheet name="VPB 2019" sheetId="14" r:id="rId6"/>
    <sheet name="CF 2019" sheetId="17" r:id="rId7"/>
    <sheet name="CF - Outros 2019" sheetId="20" r:id="rId8"/>
    <sheet name="IRT 2019" sheetId="15" r:id="rId9"/>
    <sheet name="Tarifas 2019" sheetId="16" r:id="rId10"/>
    <sheet name="BH_2018" sheetId="5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R57_2007" localSheetId="7">[1]Parâmetros!#REF!</definedName>
    <definedName name="_R57_2007" localSheetId="0">[1]Parâmetros!#REF!</definedName>
    <definedName name="_R57_2007">[1]Parâmetros!#REF!</definedName>
    <definedName name="AdicionalIR" localSheetId="7">#REF!</definedName>
    <definedName name="AdicionalIR" localSheetId="0">#REF!</definedName>
    <definedName name="AdicionalIR">#REF!</definedName>
    <definedName name="AlugCentral">'[2]E-AdmSist'!$D$9</definedName>
    <definedName name="AlugCom">'[2]E-AdmSist'!$D$11</definedName>
    <definedName name="AlugETA_ETE">'[2]E-AdmSist'!$D$12</definedName>
    <definedName name="AlugPA">'[2]E-AdmSist'!$D$10</definedName>
    <definedName name="_xlnm.Print_Area" localSheetId="7">#REF!</definedName>
    <definedName name="_xlnm.Print_Area" localSheetId="0">#REF!</definedName>
    <definedName name="_xlnm.Print_Area">#REF!</definedName>
    <definedName name="AreaEst">'[2]E-AdmSist'!$I$9</definedName>
    <definedName name="AreaLabC">'[2]E-AdmSist'!$D$21</definedName>
    <definedName name="AreaOficC">'[2]E-AdmSist'!$D$22</definedName>
    <definedName name="B" localSheetId="7">[3]DRE!#REF!</definedName>
    <definedName name="B" localSheetId="0">[3]DRE!#REF!</definedName>
    <definedName name="B">[3]DRE!#REF!</definedName>
    <definedName name="BaseIR" localSheetId="7">#REF!</definedName>
    <definedName name="BaseIR" localSheetId="0">#REF!</definedName>
    <definedName name="BaseIR">#REF!</definedName>
    <definedName name="Beneficio">'[2]P-Indices'!$D$20</definedName>
    <definedName name="Capacitação">'[2]P-Indices'!$D$18</definedName>
    <definedName name="CAPM" localSheetId="7">#REF!</definedName>
    <definedName name="CAPM" localSheetId="0">#REF!</definedName>
    <definedName name="CAPM">#REF!</definedName>
    <definedName name="CRA">'[2]C-Teleatendimento'!$D$9</definedName>
    <definedName name="CS_NEG" localSheetId="7">#REF!</definedName>
    <definedName name="CS_NEG" localSheetId="0">#REF!</definedName>
    <definedName name="CS_NEG">#REF!</definedName>
    <definedName name="CS_PERC" localSheetId="7">#REF!</definedName>
    <definedName name="CS_PERC" localSheetId="0">#REF!</definedName>
    <definedName name="CS_PERC">#REF!</definedName>
    <definedName name="CTIPO" localSheetId="7">#REF!</definedName>
    <definedName name="CTIPO" localSheetId="0">#REF!</definedName>
    <definedName name="CTIPO">#REF!</definedName>
    <definedName name="CustAnalise">'[2]E-AdmSist'!$D$23</definedName>
    <definedName name="CustElet">'[2]E-AdmSist'!$D$18</definedName>
    <definedName name="CustEst">'[2]E-AdmSist'!$I$10</definedName>
    <definedName name="CustLimp">'[2]E-AdmSist'!$D$19</definedName>
    <definedName name="CustMovel">'[2]E-AdmSist'!$D$15</definedName>
    <definedName name="CustTel">'[2]E-AdmSist'!$D$17</definedName>
    <definedName name="Decimo_Terceiro">'[2]P-Indices'!$D$12</definedName>
    <definedName name="Deposito">'[2]E-AdmSist'!$D$16</definedName>
    <definedName name="dia_TrabMesCom">'[2]P-Indices'!$D$25</definedName>
    <definedName name="dia_TrabSem">'[2]P-Indices'!$D$24</definedName>
    <definedName name="Equipes">'[2]P-Equipes'!$B$11:$AV$105</definedName>
    <definedName name="FC_ElevEsg">'[2]E-Elevatorias'!$M$176</definedName>
    <definedName name="FC_ETE">'[2]E-ETA-ETE'!$J$86</definedName>
    <definedName name="fdgf">'[2]P-Indices'!$D$15</definedName>
    <definedName name="Ferias">'[2]P-Indices'!$D$13</definedName>
    <definedName name="FGTS">'[2]P-Indices'!$D$10</definedName>
    <definedName name="FreqAtCom">'[2]E-Estrutura'!$D$458</definedName>
    <definedName name="G" localSheetId="7">#REF!</definedName>
    <definedName name="G" localSheetId="0">#REF!</definedName>
    <definedName name="G">#REF!</definedName>
    <definedName name="gfhfgh">'[2]E-AdmSist'!$D$44</definedName>
    <definedName name="GR" localSheetId="7">#REF!</definedName>
    <definedName name="GR" localSheetId="0">#REF!</definedName>
    <definedName name="GR">#REF!</definedName>
    <definedName name="h_ElevEnerg">'[2]E-Elevatorias'!$D$10</definedName>
    <definedName name="h_OpEnerg">'[2]E-ETA-ETE'!$D$34</definedName>
    <definedName name="h_TrabDia">'[2]P-Indices'!$D$22</definedName>
    <definedName name="h_TrabOeM">'[2]P-Indices'!$D$23</definedName>
    <definedName name="h_VecDia">'[2]P-Indices'!$D$28</definedName>
    <definedName name="HoraExtra">'[2]P-Indices'!$D$19</definedName>
    <definedName name="IGPM_1">[2]Controle!$D$13</definedName>
    <definedName name="IGPM_2">[2]Controle!$D$16</definedName>
    <definedName name="Inativos">'[2]E-Economias'!$L$26</definedName>
    <definedName name="inflation" localSheetId="7">#REF!</definedName>
    <definedName name="inflation" localSheetId="0">#REF!</definedName>
    <definedName name="inflation">#REF!</definedName>
    <definedName name="Insalub_Max">'[2]P-Indices'!$D$17</definedName>
    <definedName name="Insalub_Med">'[2]P-Indices'!$D$16</definedName>
    <definedName name="Insalub_Min">'[2]P-Indices'!$D$15</definedName>
    <definedName name="INSS">'[2]P-Indices'!$D$9</definedName>
    <definedName name="InsumEscrit">'[2]E-AdmSist'!$D$20</definedName>
    <definedName name="InvHardPC">'[2]E-AdmSist'!$D$44</definedName>
    <definedName name="InvSoftPC">'[2]E-AdmSist'!$D$43</definedName>
    <definedName name="IPCA_1">[2]Controle!$D$12</definedName>
    <definedName name="IPCA_2">[2]Controle!$D$15</definedName>
    <definedName name="ir_perpetuo" localSheetId="7">#REF!</definedName>
    <definedName name="ir_perpetuo" localSheetId="0">#REF!</definedName>
    <definedName name="ir_perpetuo">#REF!</definedName>
    <definedName name="Lig_Ativ_Esg">'[2]E-Economias'!$J$39</definedName>
    <definedName name="Ligacoes_Tot">'[2]E-Economias'!$J$26</definedName>
    <definedName name="Lucro" localSheetId="7">#REF!</definedName>
    <definedName name="Lucro" localSheetId="0">#REF!</definedName>
    <definedName name="Lucro">#REF!</definedName>
    <definedName name="m2_Acom">'[2]E-AdmSist'!$D$14</definedName>
    <definedName name="m2_Indiv">'[2]E-AdmSist'!$D$13</definedName>
    <definedName name="Maquina">'[2]P-Veiculos'!$C$33:$W$47</definedName>
    <definedName name="MESES_A_PROJETAR" localSheetId="7">#REF!</definedName>
    <definedName name="MESES_A_PROJETAR" localSheetId="0">#REF!</definedName>
    <definedName name="MESES_A_PROJETAR">#REF!</definedName>
    <definedName name="MobDCom">'[2]E-AdmSist'!$I$13</definedName>
    <definedName name="MobDEng">'[2]E-AdmSist'!$I$15</definedName>
    <definedName name="MobDGest">'[2]E-AdmSist'!$I$16</definedName>
    <definedName name="MobPres">'[2]E-AdmSist'!$I$12</definedName>
    <definedName name="model" localSheetId="7">[4]Controle!#REF!</definedName>
    <definedName name="model" localSheetId="0">[4]Controle!#REF!</definedName>
    <definedName name="model">[4]Controle!#REF!</definedName>
    <definedName name="moeda" localSheetId="7">#REF!</definedName>
    <definedName name="moeda" localSheetId="0">#REF!</definedName>
    <definedName name="moeda">#REF!</definedName>
    <definedName name="o">'[5]T-Bonds'!$E$6</definedName>
    <definedName name="Pensao">'[2]P-Indices'!$D$21</definedName>
    <definedName name="PeriodoTaxa" localSheetId="7">#REF!</definedName>
    <definedName name="PeriodoTaxa" localSheetId="0">#REF!</definedName>
    <definedName name="PeriodoTaxa">#REF!</definedName>
    <definedName name="perpetuo" localSheetId="7">[3]DRE!#REF!</definedName>
    <definedName name="perpetuo" localSheetId="0">[3]DRE!#REF!</definedName>
    <definedName name="perpetuo">[3]DRE!#REF!</definedName>
    <definedName name="ponderada_abaixo" localSheetId="7">#REF!</definedName>
    <definedName name="ponderada_abaixo" localSheetId="0">#REF!</definedName>
    <definedName name="ponderada_abaixo">#REF!</definedName>
    <definedName name="ponderada_acima" localSheetId="7">#REF!</definedName>
    <definedName name="ponderada_acima" localSheetId="0">#REF!</definedName>
    <definedName name="ponderada_acima">#REF!</definedName>
    <definedName name="ponderada_simples" localSheetId="7">#REF!</definedName>
    <definedName name="ponderada_simples" localSheetId="0">#REF!</definedName>
    <definedName name="ponderada_simples">#REF!</definedName>
    <definedName name="PREJFISC_ACUM" localSheetId="0">#REF!</definedName>
    <definedName name="PREJFISC_ACUM">#REF!</definedName>
    <definedName name="ProdQuim">'[2]E-ETA-ETE'!$C$9:$D$29</definedName>
    <definedName name="SalarioMinimo">'[2]P-Indices'!$D$11</definedName>
    <definedName name="Salarios">'[2]P-Salarios'!$C$9:$V$60</definedName>
    <definedName name="sem_TrabAno">'[2]P-Indices'!$D$26</definedName>
    <definedName name="sem_TrabVEC">'[2]P-Indices'!$D$27</definedName>
    <definedName name="simple" localSheetId="7">[4]BETA!#REF!</definedName>
    <definedName name="simple" localSheetId="0">[4]BETA!#REF!</definedName>
    <definedName name="simple">[4]BETA!#REF!</definedName>
    <definedName name="TarifConsElev">'[2]E-Elevatorias'!$D$9</definedName>
    <definedName name="TarifConsOp">'[2]E-ETA-ETE'!$D$33</definedName>
    <definedName name="TarifDemElev">'[2]E-Elevatorias'!$D$8</definedName>
    <definedName name="TarifDemOp">'[2]E-ETA-ETE'!$D$32</definedName>
    <definedName name="TaxaDesconto" localSheetId="7">#REF!</definedName>
    <definedName name="TaxaDesconto" localSheetId="0">#REF!</definedName>
    <definedName name="TaxaDesconto">#REF!</definedName>
    <definedName name="_xlnm.Print_Titles" localSheetId="7">#REF!</definedName>
    <definedName name="_xlnm.Print_Titles" localSheetId="0">#REF!</definedName>
    <definedName name="_xlnm.Print_Titles">#REF!</definedName>
    <definedName name="TMA">'[2]E-Estrutura'!$D$457</definedName>
    <definedName name="Tx_Desc" localSheetId="7">[3]DRE!#REF!</definedName>
    <definedName name="Tx_Desc" localSheetId="0">[3]DRE!#REF!</definedName>
    <definedName name="Tx_Desc">[3]DRE!#REF!</definedName>
    <definedName name="Veiculos">'[2]P-Veiculos'!$C$13:$W$27</definedName>
    <definedName name="VidaHard">'[2]E-AdmSist'!$E$34</definedName>
    <definedName name="VidaHardPC">'[2]E-AdmSist'!$E$36</definedName>
    <definedName name="VidaSoft">'[2]E-AdmSist'!$E$33</definedName>
    <definedName name="VidaSoftPC">'[2]E-AdmSist'!$E$35</definedName>
    <definedName name="WACC">[2]Controle!$D$9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3" l="1"/>
  <c r="C11" i="13"/>
  <c r="G8" i="20"/>
  <c r="K11" i="6" l="1"/>
  <c r="L11" i="6"/>
  <c r="N11" i="6"/>
  <c r="D44" i="16"/>
  <c r="C44" i="16"/>
  <c r="D43" i="16"/>
  <c r="C43" i="16"/>
  <c r="M11" i="6" s="1"/>
  <c r="D39" i="16"/>
  <c r="C39" i="16"/>
  <c r="D38" i="16"/>
  <c r="C38" i="16"/>
  <c r="D37" i="16"/>
  <c r="C37" i="16"/>
  <c r="D36" i="16"/>
  <c r="C36" i="16"/>
  <c r="D35" i="16"/>
  <c r="C35" i="16"/>
  <c r="D34" i="16"/>
  <c r="C34" i="16"/>
  <c r="H22" i="16" l="1"/>
  <c r="G22" i="16"/>
  <c r="H21" i="16"/>
  <c r="G21" i="16"/>
  <c r="H17" i="16"/>
  <c r="G17" i="16"/>
  <c r="H16" i="16"/>
  <c r="G16" i="16"/>
  <c r="H15" i="16"/>
  <c r="G15" i="16"/>
  <c r="H14" i="16"/>
  <c r="G14" i="16"/>
  <c r="H13" i="16"/>
  <c r="G13" i="16"/>
  <c r="H12" i="16"/>
  <c r="G12" i="16"/>
  <c r="P25" i="4" l="1"/>
  <c r="P23" i="4"/>
  <c r="P24" i="4"/>
  <c r="P26" i="4"/>
  <c r="P27" i="4"/>
  <c r="P28" i="4"/>
  <c r="P29" i="4"/>
  <c r="P30" i="4"/>
  <c r="P32" i="4"/>
  <c r="P33" i="4"/>
  <c r="P34" i="4"/>
  <c r="P35" i="4"/>
  <c r="P36" i="4"/>
  <c r="P37" i="4"/>
  <c r="P38" i="4"/>
  <c r="P39" i="4"/>
  <c r="P41" i="4"/>
  <c r="P42" i="4"/>
  <c r="P44" i="4"/>
  <c r="P45" i="4"/>
  <c r="P47" i="4"/>
  <c r="P48" i="4"/>
  <c r="D85" i="4" l="1"/>
  <c r="D43" i="4"/>
  <c r="C13" i="5"/>
  <c r="N15" i="17" l="1"/>
  <c r="O15" i="17"/>
  <c r="P15" i="17"/>
  <c r="Q15" i="17"/>
  <c r="R15" i="17"/>
  <c r="S15" i="17"/>
  <c r="T15" i="17"/>
  <c r="U15" i="17"/>
  <c r="V15" i="17"/>
  <c r="W15" i="17"/>
  <c r="X15" i="17"/>
  <c r="Y15" i="17"/>
  <c r="N13" i="17"/>
  <c r="N14" i="17" s="1"/>
  <c r="N10" i="17"/>
  <c r="O13" i="17"/>
  <c r="O14" i="17" s="1"/>
  <c r="O10" i="17"/>
  <c r="P13" i="17"/>
  <c r="P14" i="17" s="1"/>
  <c r="P10" i="17"/>
  <c r="Q13" i="17"/>
  <c r="Q14" i="17" s="1"/>
  <c r="Q10" i="17"/>
  <c r="R13" i="17"/>
  <c r="R14" i="17" s="1"/>
  <c r="R10" i="17"/>
  <c r="S13" i="17"/>
  <c r="S14" i="17" s="1"/>
  <c r="S10" i="17"/>
  <c r="T13" i="17"/>
  <c r="T14" i="17" s="1"/>
  <c r="T10" i="17"/>
  <c r="U13" i="17"/>
  <c r="U14" i="17" s="1"/>
  <c r="U10" i="17"/>
  <c r="V13" i="17"/>
  <c r="V14" i="17" s="1"/>
  <c r="V10" i="17"/>
  <c r="W13" i="17"/>
  <c r="W14" i="17" s="1"/>
  <c r="W10" i="17"/>
  <c r="X13" i="17"/>
  <c r="X14" i="17" s="1"/>
  <c r="X10" i="17"/>
  <c r="Y13" i="17"/>
  <c r="Y14" i="17" s="1"/>
  <c r="Y10" i="17"/>
  <c r="D86" i="4"/>
  <c r="D87" i="4"/>
  <c r="D88" i="4"/>
  <c r="D89" i="4"/>
  <c r="D90" i="4"/>
  <c r="D91" i="4"/>
  <c r="D92" i="4"/>
  <c r="D94" i="4"/>
  <c r="D95" i="4"/>
  <c r="D96" i="4"/>
  <c r="D97" i="4"/>
  <c r="D98" i="4"/>
  <c r="D99" i="4"/>
  <c r="D100" i="4"/>
  <c r="D101" i="4"/>
  <c r="D103" i="4"/>
  <c r="D105" i="4" s="1"/>
  <c r="D104" i="4"/>
  <c r="D106" i="4"/>
  <c r="D108" i="4" s="1"/>
  <c r="D107" i="4"/>
  <c r="D109" i="4"/>
  <c r="D110" i="4"/>
  <c r="I18" i="17"/>
  <c r="I7" i="17"/>
  <c r="E85" i="4"/>
  <c r="E86" i="4"/>
  <c r="E87" i="4"/>
  <c r="E88" i="4"/>
  <c r="E89" i="4"/>
  <c r="E90" i="4"/>
  <c r="E91" i="4"/>
  <c r="E92" i="4"/>
  <c r="E94" i="4"/>
  <c r="E95" i="4"/>
  <c r="E96" i="4"/>
  <c r="E97" i="4"/>
  <c r="E98" i="4"/>
  <c r="E99" i="4"/>
  <c r="E100" i="4"/>
  <c r="E101" i="4"/>
  <c r="E103" i="4"/>
  <c r="E104" i="4"/>
  <c r="E106" i="4"/>
  <c r="E107" i="4"/>
  <c r="E109" i="4"/>
  <c r="E110" i="4"/>
  <c r="I8" i="17"/>
  <c r="F85" i="4"/>
  <c r="F86" i="4"/>
  <c r="F87" i="4"/>
  <c r="F88" i="4"/>
  <c r="F89" i="4"/>
  <c r="F90" i="4"/>
  <c r="F91" i="4"/>
  <c r="F92" i="4"/>
  <c r="F94" i="4"/>
  <c r="F95" i="4"/>
  <c r="F96" i="4"/>
  <c r="F97" i="4"/>
  <c r="F98" i="4"/>
  <c r="F99" i="4"/>
  <c r="F100" i="4"/>
  <c r="F101" i="4"/>
  <c r="F103" i="4"/>
  <c r="F104" i="4"/>
  <c r="F106" i="4"/>
  <c r="F107" i="4"/>
  <c r="F109" i="4"/>
  <c r="F110" i="4"/>
  <c r="I9" i="17"/>
  <c r="G85" i="4"/>
  <c r="G86" i="4"/>
  <c r="G87" i="4"/>
  <c r="G88" i="4"/>
  <c r="G89" i="4"/>
  <c r="G90" i="4"/>
  <c r="G91" i="4"/>
  <c r="G92" i="4"/>
  <c r="G94" i="4"/>
  <c r="G95" i="4"/>
  <c r="G96" i="4"/>
  <c r="G97" i="4"/>
  <c r="G98" i="4"/>
  <c r="G99" i="4"/>
  <c r="G100" i="4"/>
  <c r="G101" i="4"/>
  <c r="G103" i="4"/>
  <c r="G104" i="4"/>
  <c r="G106" i="4"/>
  <c r="G107" i="4"/>
  <c r="G109" i="4"/>
  <c r="G110" i="4"/>
  <c r="I10" i="17"/>
  <c r="H85" i="4"/>
  <c r="H86" i="4"/>
  <c r="H87" i="4"/>
  <c r="H88" i="4"/>
  <c r="H89" i="4"/>
  <c r="H90" i="4"/>
  <c r="H91" i="4"/>
  <c r="H92" i="4"/>
  <c r="H94" i="4"/>
  <c r="H95" i="4"/>
  <c r="H96" i="4"/>
  <c r="H97" i="4"/>
  <c r="H98" i="4"/>
  <c r="H99" i="4"/>
  <c r="H100" i="4"/>
  <c r="H101" i="4"/>
  <c r="H103" i="4"/>
  <c r="H104" i="4"/>
  <c r="H106" i="4"/>
  <c r="H107" i="4"/>
  <c r="H109" i="4"/>
  <c r="H110" i="4"/>
  <c r="I11" i="17"/>
  <c r="C13" i="17"/>
  <c r="I85" i="4"/>
  <c r="I86" i="4"/>
  <c r="I87" i="4"/>
  <c r="I88" i="4"/>
  <c r="I89" i="4"/>
  <c r="I90" i="4"/>
  <c r="I91" i="4"/>
  <c r="I92" i="4"/>
  <c r="I94" i="4"/>
  <c r="I95" i="4"/>
  <c r="I96" i="4"/>
  <c r="I97" i="4"/>
  <c r="I98" i="4"/>
  <c r="I99" i="4"/>
  <c r="I100" i="4"/>
  <c r="I101" i="4"/>
  <c r="I103" i="4"/>
  <c r="I104" i="4"/>
  <c r="I106" i="4"/>
  <c r="I107" i="4"/>
  <c r="I109" i="4"/>
  <c r="I110" i="4"/>
  <c r="I12" i="17"/>
  <c r="J85" i="4"/>
  <c r="J86" i="4"/>
  <c r="J87" i="4"/>
  <c r="J88" i="4"/>
  <c r="J89" i="4"/>
  <c r="J90" i="4"/>
  <c r="J91" i="4"/>
  <c r="J92" i="4"/>
  <c r="J94" i="4"/>
  <c r="J95" i="4"/>
  <c r="J96" i="4"/>
  <c r="J97" i="4"/>
  <c r="J98" i="4"/>
  <c r="J99" i="4"/>
  <c r="J100" i="4"/>
  <c r="J101" i="4"/>
  <c r="J103" i="4"/>
  <c r="J104" i="4"/>
  <c r="J106" i="4"/>
  <c r="J108" i="4" s="1"/>
  <c r="J107" i="4"/>
  <c r="J109" i="4"/>
  <c r="J110" i="4"/>
  <c r="I13" i="17"/>
  <c r="K85" i="4"/>
  <c r="K86" i="4"/>
  <c r="K87" i="4"/>
  <c r="K88" i="4"/>
  <c r="K89" i="4"/>
  <c r="K90" i="4"/>
  <c r="K91" i="4"/>
  <c r="K92" i="4"/>
  <c r="K94" i="4"/>
  <c r="K95" i="4"/>
  <c r="K96" i="4"/>
  <c r="K97" i="4"/>
  <c r="K98" i="4"/>
  <c r="K99" i="4"/>
  <c r="K100" i="4"/>
  <c r="K101" i="4"/>
  <c r="K103" i="4"/>
  <c r="K104" i="4"/>
  <c r="K106" i="4"/>
  <c r="K107" i="4"/>
  <c r="K109" i="4"/>
  <c r="K110" i="4"/>
  <c r="I14" i="17"/>
  <c r="L85" i="4"/>
  <c r="L86" i="4"/>
  <c r="L87" i="4"/>
  <c r="L88" i="4"/>
  <c r="L89" i="4"/>
  <c r="L90" i="4"/>
  <c r="L91" i="4"/>
  <c r="L92" i="4"/>
  <c r="L94" i="4"/>
  <c r="L95" i="4"/>
  <c r="L96" i="4"/>
  <c r="L97" i="4"/>
  <c r="L98" i="4"/>
  <c r="L99" i="4"/>
  <c r="L100" i="4"/>
  <c r="L101" i="4"/>
  <c r="L103" i="4"/>
  <c r="L104" i="4"/>
  <c r="L106" i="4"/>
  <c r="L107" i="4"/>
  <c r="L109" i="4"/>
  <c r="L110" i="4"/>
  <c r="I15" i="17"/>
  <c r="M85" i="4"/>
  <c r="M86" i="4"/>
  <c r="M87" i="4"/>
  <c r="M88" i="4"/>
  <c r="M89" i="4"/>
  <c r="M90" i="4"/>
  <c r="M91" i="4"/>
  <c r="M92" i="4"/>
  <c r="M94" i="4"/>
  <c r="M95" i="4"/>
  <c r="M96" i="4"/>
  <c r="M97" i="4"/>
  <c r="M98" i="4"/>
  <c r="M99" i="4"/>
  <c r="M100" i="4"/>
  <c r="M101" i="4"/>
  <c r="M103" i="4"/>
  <c r="M104" i="4"/>
  <c r="M106" i="4"/>
  <c r="M107" i="4"/>
  <c r="M109" i="4"/>
  <c r="M110" i="4"/>
  <c r="I16" i="17"/>
  <c r="N85" i="4"/>
  <c r="N86" i="4"/>
  <c r="N87" i="4"/>
  <c r="N88" i="4"/>
  <c r="N89" i="4"/>
  <c r="N90" i="4"/>
  <c r="N91" i="4"/>
  <c r="N92" i="4"/>
  <c r="N94" i="4"/>
  <c r="N95" i="4"/>
  <c r="N96" i="4"/>
  <c r="N97" i="4"/>
  <c r="N98" i="4"/>
  <c r="N99" i="4"/>
  <c r="N100" i="4"/>
  <c r="N101" i="4"/>
  <c r="N103" i="4"/>
  <c r="N104" i="4"/>
  <c r="N106" i="4"/>
  <c r="N107" i="4"/>
  <c r="N109" i="4"/>
  <c r="N110" i="4"/>
  <c r="I17" i="17"/>
  <c r="O85" i="4"/>
  <c r="O86" i="4"/>
  <c r="O87" i="4"/>
  <c r="O88" i="4"/>
  <c r="O89" i="4"/>
  <c r="O90" i="4"/>
  <c r="O91" i="4"/>
  <c r="O92" i="4"/>
  <c r="O94" i="4"/>
  <c r="O95" i="4"/>
  <c r="O96" i="4"/>
  <c r="O97" i="4"/>
  <c r="O98" i="4"/>
  <c r="O99" i="4"/>
  <c r="O100" i="4"/>
  <c r="O101" i="4"/>
  <c r="O103" i="4"/>
  <c r="O104" i="4"/>
  <c r="O106" i="4"/>
  <c r="O107" i="4"/>
  <c r="O109" i="4"/>
  <c r="O110" i="4"/>
  <c r="D23" i="20"/>
  <c r="D19" i="20"/>
  <c r="G10" i="20"/>
  <c r="C11" i="20" s="1"/>
  <c r="C13" i="20" s="1"/>
  <c r="G17" i="20" s="1"/>
  <c r="G19" i="20"/>
  <c r="B10" i="2"/>
  <c r="B11" i="2"/>
  <c r="B12" i="2"/>
  <c r="B13" i="2"/>
  <c r="B14" i="2" s="1"/>
  <c r="B15" i="2" s="1"/>
  <c r="B16" i="2" s="1"/>
  <c r="B17" i="2" s="1"/>
  <c r="B18" i="2" s="1"/>
  <c r="B19" i="2" s="1"/>
  <c r="B20" i="2" s="1"/>
  <c r="B21" i="2" s="1"/>
  <c r="E9" i="6"/>
  <c r="E24" i="6" s="1"/>
  <c r="E39" i="6" s="1"/>
  <c r="E54" i="6" s="1"/>
  <c r="E23" i="6"/>
  <c r="E38" i="6"/>
  <c r="E53" i="6"/>
  <c r="B9" i="6"/>
  <c r="B10" i="6" s="1"/>
  <c r="B23" i="6"/>
  <c r="B38" i="6" s="1"/>
  <c r="B53" i="6" s="1"/>
  <c r="D31" i="4"/>
  <c r="D40" i="4"/>
  <c r="D46" i="4"/>
  <c r="D49" i="4"/>
  <c r="E31" i="4"/>
  <c r="E40" i="4"/>
  <c r="E43" i="4"/>
  <c r="E46" i="4"/>
  <c r="E49" i="4"/>
  <c r="F31" i="4"/>
  <c r="F40" i="4"/>
  <c r="F43" i="4"/>
  <c r="F46" i="4"/>
  <c r="F49" i="4"/>
  <c r="G31" i="4"/>
  <c r="G40" i="4"/>
  <c r="G43" i="4"/>
  <c r="G46" i="4"/>
  <c r="G49" i="4"/>
  <c r="H31" i="4"/>
  <c r="H40" i="4"/>
  <c r="H43" i="4"/>
  <c r="H46" i="4"/>
  <c r="H49" i="4"/>
  <c r="I31" i="4"/>
  <c r="I40" i="4"/>
  <c r="I43" i="4"/>
  <c r="I46" i="4"/>
  <c r="I49" i="4"/>
  <c r="J31" i="4"/>
  <c r="J40" i="4"/>
  <c r="J43" i="4"/>
  <c r="J46" i="4"/>
  <c r="J49" i="4"/>
  <c r="K31" i="4"/>
  <c r="K40" i="4"/>
  <c r="K43" i="4"/>
  <c r="K46" i="4"/>
  <c r="K49" i="4"/>
  <c r="L31" i="4"/>
  <c r="L40" i="4"/>
  <c r="L43" i="4"/>
  <c r="L46" i="4"/>
  <c r="L49" i="4"/>
  <c r="M31" i="4"/>
  <c r="M40" i="4"/>
  <c r="M43" i="4"/>
  <c r="M46" i="4"/>
  <c r="M49" i="4"/>
  <c r="N31" i="4"/>
  <c r="N40" i="4"/>
  <c r="N43" i="4"/>
  <c r="N46" i="4"/>
  <c r="N49" i="4"/>
  <c r="O31" i="4"/>
  <c r="O40" i="4"/>
  <c r="O43" i="4"/>
  <c r="O46" i="4"/>
  <c r="O49" i="4"/>
  <c r="D62" i="4"/>
  <c r="E62" i="4"/>
  <c r="F62" i="4"/>
  <c r="G62" i="4"/>
  <c r="H62" i="4"/>
  <c r="I62" i="4"/>
  <c r="J62" i="4"/>
  <c r="K62" i="4"/>
  <c r="L62" i="4"/>
  <c r="M62" i="4"/>
  <c r="N62" i="4"/>
  <c r="O62" i="4"/>
  <c r="P63" i="4"/>
  <c r="P64" i="4"/>
  <c r="P65" i="4"/>
  <c r="P66" i="4"/>
  <c r="P67" i="4"/>
  <c r="P68" i="4"/>
  <c r="P69" i="4"/>
  <c r="P70" i="4"/>
  <c r="P72" i="4"/>
  <c r="P73" i="4"/>
  <c r="P75" i="4"/>
  <c r="P76" i="4"/>
  <c r="P78" i="4"/>
  <c r="P79" i="4"/>
  <c r="H8" i="6"/>
  <c r="H9" i="6"/>
  <c r="H10" i="6"/>
  <c r="H11" i="6"/>
  <c r="H12" i="6"/>
  <c r="H13" i="6"/>
  <c r="H14" i="6"/>
  <c r="H15" i="6"/>
  <c r="H16" i="6"/>
  <c r="H17" i="6"/>
  <c r="H18" i="6"/>
  <c r="H19" i="6"/>
  <c r="H23" i="6"/>
  <c r="H24" i="6"/>
  <c r="H25" i="6"/>
  <c r="H26" i="6"/>
  <c r="H27" i="6"/>
  <c r="H28" i="6"/>
  <c r="H29" i="6"/>
  <c r="H30" i="6"/>
  <c r="H31" i="6"/>
  <c r="H32" i="6"/>
  <c r="H33" i="6"/>
  <c r="H34" i="6"/>
  <c r="H38" i="6"/>
  <c r="H39" i="6"/>
  <c r="H40" i="6"/>
  <c r="H41" i="6"/>
  <c r="H42" i="6"/>
  <c r="H43" i="6"/>
  <c r="H44" i="6"/>
  <c r="H45" i="6"/>
  <c r="H46" i="6"/>
  <c r="H47" i="6"/>
  <c r="H48" i="6"/>
  <c r="H49" i="6"/>
  <c r="H53" i="6"/>
  <c r="H54" i="6"/>
  <c r="H55" i="6"/>
  <c r="H56" i="6"/>
  <c r="H57" i="6"/>
  <c r="H58" i="6"/>
  <c r="H59" i="6"/>
  <c r="H60" i="6"/>
  <c r="H61" i="6"/>
  <c r="H62" i="6"/>
  <c r="H63" i="6"/>
  <c r="H64" i="6"/>
  <c r="C23" i="14"/>
  <c r="C14" i="14"/>
  <c r="D9" i="14" s="1"/>
  <c r="D13" i="14"/>
  <c r="C22" i="2"/>
  <c r="E9" i="14" s="1"/>
  <c r="K21" i="2"/>
  <c r="H28" i="2" s="1"/>
  <c r="L21" i="2"/>
  <c r="I28" i="2" s="1"/>
  <c r="H21" i="2"/>
  <c r="H29" i="2"/>
  <c r="I21" i="2"/>
  <c r="I29" i="2" s="1"/>
  <c r="J29" i="2" s="1"/>
  <c r="D11" i="14"/>
  <c r="E22" i="2"/>
  <c r="E11" i="14" s="1"/>
  <c r="E12" i="14" s="1"/>
  <c r="D22" i="2"/>
  <c r="E13" i="14"/>
  <c r="F13" i="14" s="1"/>
  <c r="D23" i="15"/>
  <c r="Z7" i="17"/>
  <c r="P11" i="4"/>
  <c r="C18" i="13" s="1"/>
  <c r="P10" i="4"/>
  <c r="D71" i="4"/>
  <c r="E71" i="4"/>
  <c r="F71" i="4"/>
  <c r="G71" i="4"/>
  <c r="H71" i="4"/>
  <c r="I71" i="4"/>
  <c r="J71" i="4"/>
  <c r="K71" i="4"/>
  <c r="L71" i="4"/>
  <c r="M71" i="4"/>
  <c r="N71" i="4"/>
  <c r="O71" i="4"/>
  <c r="G10" i="2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O77" i="4"/>
  <c r="N77" i="4"/>
  <c r="M77" i="4"/>
  <c r="L77" i="4"/>
  <c r="K77" i="4"/>
  <c r="J77" i="4"/>
  <c r="I77" i="4"/>
  <c r="I74" i="4"/>
  <c r="I80" i="4"/>
  <c r="H77" i="4"/>
  <c r="G77" i="4"/>
  <c r="F77" i="4"/>
  <c r="F74" i="4"/>
  <c r="F80" i="4"/>
  <c r="E77" i="4"/>
  <c r="D77" i="4"/>
  <c r="O74" i="4"/>
  <c r="N74" i="4"/>
  <c r="M74" i="4"/>
  <c r="M80" i="4"/>
  <c r="L74" i="4"/>
  <c r="K74" i="4"/>
  <c r="K80" i="4"/>
  <c r="J74" i="4"/>
  <c r="J80" i="4"/>
  <c r="H74" i="4"/>
  <c r="G74" i="4"/>
  <c r="E74" i="4"/>
  <c r="D74" i="4"/>
  <c r="Z8" i="17"/>
  <c r="Z9" i="17"/>
  <c r="Z11" i="17"/>
  <c r="Z12" i="17"/>
  <c r="E9" i="4"/>
  <c r="E22" i="4" s="1"/>
  <c r="E53" i="4" s="1"/>
  <c r="E84" i="4" s="1"/>
  <c r="O80" i="4"/>
  <c r="N80" i="4"/>
  <c r="L80" i="4"/>
  <c r="H80" i="4"/>
  <c r="G80" i="4"/>
  <c r="E80" i="4"/>
  <c r="D80" i="4"/>
  <c r="M5" i="17"/>
  <c r="F11" i="5"/>
  <c r="F9" i="5"/>
  <c r="G7" i="5"/>
  <c r="F7" i="5"/>
  <c r="E9" i="5" s="1"/>
  <c r="P61" i="4"/>
  <c r="P60" i="4"/>
  <c r="P59" i="4"/>
  <c r="P58" i="4"/>
  <c r="P57" i="4"/>
  <c r="P56" i="4"/>
  <c r="P55" i="4"/>
  <c r="P54" i="4"/>
  <c r="D22" i="4"/>
  <c r="D53" i="4" s="1"/>
  <c r="D84" i="4" s="1"/>
  <c r="O12" i="4"/>
  <c r="N12" i="4"/>
  <c r="M12" i="4"/>
  <c r="L12" i="4"/>
  <c r="K12" i="4"/>
  <c r="J12" i="4"/>
  <c r="I12" i="4"/>
  <c r="H12" i="4"/>
  <c r="G12" i="4"/>
  <c r="F12" i="4"/>
  <c r="E12" i="4"/>
  <c r="D12" i="4"/>
  <c r="C17" i="13"/>
  <c r="D13" i="5"/>
  <c r="D12" i="14"/>
  <c r="D10" i="14"/>
  <c r="D14" i="14"/>
  <c r="D25" i="20" l="1"/>
  <c r="F12" i="14"/>
  <c r="F11" i="14"/>
  <c r="D26" i="20"/>
  <c r="D27" i="20" s="1"/>
  <c r="D31" i="20" s="1"/>
  <c r="F9" i="4"/>
  <c r="G9" i="4" s="1"/>
  <c r="P43" i="4"/>
  <c r="J28" i="2"/>
  <c r="M8" i="6"/>
  <c r="M10" i="6" s="1"/>
  <c r="E10" i="6"/>
  <c r="K108" i="4"/>
  <c r="H108" i="4"/>
  <c r="K105" i="4"/>
  <c r="D111" i="4"/>
  <c r="E111" i="4"/>
  <c r="P46" i="4"/>
  <c r="I108" i="4"/>
  <c r="L105" i="4"/>
  <c r="E105" i="4"/>
  <c r="I105" i="4"/>
  <c r="E50" i="4"/>
  <c r="M105" i="4"/>
  <c r="P40" i="4"/>
  <c r="D102" i="4"/>
  <c r="P31" i="4"/>
  <c r="P49" i="4"/>
  <c r="Z13" i="17"/>
  <c r="Z14" i="17" s="1"/>
  <c r="Z10" i="17"/>
  <c r="Z15" i="17"/>
  <c r="C13" i="13" s="1"/>
  <c r="C14" i="13" s="1"/>
  <c r="C19" i="13"/>
  <c r="P12" i="4"/>
  <c r="F81" i="4"/>
  <c r="G22" i="5"/>
  <c r="E13" i="5"/>
  <c r="F14" i="5" s="1"/>
  <c r="F9" i="14"/>
  <c r="B11" i="6"/>
  <c r="B25" i="6"/>
  <c r="B40" i="6" s="1"/>
  <c r="B55" i="6" s="1"/>
  <c r="Y17" i="17"/>
  <c r="Y16" i="17"/>
  <c r="Y18" i="17"/>
  <c r="W17" i="17"/>
  <c r="W16" i="17"/>
  <c r="W18" i="17"/>
  <c r="U17" i="17"/>
  <c r="U16" i="17"/>
  <c r="U18" i="17"/>
  <c r="S17" i="17"/>
  <c r="S16" i="17"/>
  <c r="S18" i="17"/>
  <c r="Q17" i="17"/>
  <c r="Q16" i="17"/>
  <c r="Q18" i="17"/>
  <c r="O17" i="17"/>
  <c r="O16" i="17"/>
  <c r="O18" i="17"/>
  <c r="F22" i="4"/>
  <c r="F53" i="4" s="1"/>
  <c r="F84" i="4" s="1"/>
  <c r="J30" i="2"/>
  <c r="E10" i="14" s="1"/>
  <c r="F10" i="14" s="1"/>
  <c r="X17" i="17"/>
  <c r="X16" i="17"/>
  <c r="X18" i="17"/>
  <c r="V17" i="17"/>
  <c r="V16" i="17"/>
  <c r="V18" i="17"/>
  <c r="T17" i="17"/>
  <c r="T16" i="17"/>
  <c r="T18" i="17"/>
  <c r="R17" i="17"/>
  <c r="R16" i="17"/>
  <c r="R18" i="17"/>
  <c r="P17" i="17"/>
  <c r="P16" i="17"/>
  <c r="P18" i="17"/>
  <c r="N17" i="17"/>
  <c r="N16" i="17"/>
  <c r="N18" i="17"/>
  <c r="K102" i="4"/>
  <c r="K93" i="4"/>
  <c r="D50" i="4"/>
  <c r="E108" i="4"/>
  <c r="H81" i="4"/>
  <c r="D81" i="4"/>
  <c r="M108" i="4"/>
  <c r="H105" i="4"/>
  <c r="F108" i="4"/>
  <c r="J81" i="4"/>
  <c r="B24" i="6"/>
  <c r="B39" i="6" s="1"/>
  <c r="B54" i="6" s="1"/>
  <c r="L111" i="4"/>
  <c r="K111" i="4"/>
  <c r="J111" i="4"/>
  <c r="G108" i="4"/>
  <c r="F93" i="4"/>
  <c r="E102" i="4"/>
  <c r="O111" i="4"/>
  <c r="O108" i="4"/>
  <c r="O105" i="4"/>
  <c r="O81" i="4"/>
  <c r="O102" i="4"/>
  <c r="O93" i="4"/>
  <c r="O50" i="4"/>
  <c r="N81" i="4"/>
  <c r="N105" i="4"/>
  <c r="N102" i="4"/>
  <c r="N93" i="4"/>
  <c r="N111" i="4"/>
  <c r="N108" i="4"/>
  <c r="N50" i="4"/>
  <c r="M111" i="4"/>
  <c r="M81" i="4"/>
  <c r="M102" i="4"/>
  <c r="M93" i="4"/>
  <c r="M50" i="4"/>
  <c r="L81" i="4"/>
  <c r="L108" i="4"/>
  <c r="L102" i="4"/>
  <c r="L93" i="4"/>
  <c r="L50" i="4"/>
  <c r="K81" i="4"/>
  <c r="K50" i="4"/>
  <c r="P74" i="4"/>
  <c r="J105" i="4"/>
  <c r="J102" i="4"/>
  <c r="J50" i="4"/>
  <c r="J93" i="4"/>
  <c r="I81" i="4"/>
  <c r="I102" i="4"/>
  <c r="I93" i="4"/>
  <c r="I111" i="4"/>
  <c r="I50" i="4"/>
  <c r="P104" i="4"/>
  <c r="P98" i="4"/>
  <c r="P87" i="4"/>
  <c r="P90" i="4"/>
  <c r="H102" i="4"/>
  <c r="H93" i="4"/>
  <c r="H111" i="4"/>
  <c r="P97" i="4"/>
  <c r="P96" i="4"/>
  <c r="P89" i="4"/>
  <c r="P88" i="4"/>
  <c r="H50" i="4"/>
  <c r="P80" i="4"/>
  <c r="G81" i="4"/>
  <c r="G105" i="4"/>
  <c r="G102" i="4"/>
  <c r="G93" i="4"/>
  <c r="P62" i="4"/>
  <c r="G111" i="4"/>
  <c r="P107" i="4"/>
  <c r="P103" i="4"/>
  <c r="G50" i="4"/>
  <c r="P94" i="4"/>
  <c r="P100" i="4"/>
  <c r="P99" i="4"/>
  <c r="E81" i="4"/>
  <c r="F111" i="4"/>
  <c r="P77" i="4"/>
  <c r="P106" i="4"/>
  <c r="F102" i="4"/>
  <c r="P71" i="4"/>
  <c r="P95" i="4"/>
  <c r="P86" i="4"/>
  <c r="P110" i="4"/>
  <c r="P101" i="4"/>
  <c r="F50" i="4"/>
  <c r="P85" i="4"/>
  <c r="P91" i="4"/>
  <c r="P92" i="4"/>
  <c r="E93" i="4"/>
  <c r="D93" i="4"/>
  <c r="P109" i="4"/>
  <c r="F105" i="4"/>
  <c r="M12" i="6"/>
  <c r="N8" i="6"/>
  <c r="N10" i="6" s="1"/>
  <c r="N12" i="6" s="1"/>
  <c r="L8" i="6"/>
  <c r="L10" i="6" s="1"/>
  <c r="L12" i="6" s="1"/>
  <c r="K8" i="6"/>
  <c r="K10" i="6" s="1"/>
  <c r="K12" i="6" s="1"/>
  <c r="G13" i="5"/>
  <c r="G18" i="20" l="1"/>
  <c r="G22" i="4"/>
  <c r="G53" i="4" s="1"/>
  <c r="G84" i="4" s="1"/>
  <c r="H9" i="4"/>
  <c r="E25" i="6"/>
  <c r="E40" i="6" s="1"/>
  <c r="E55" i="6" s="1"/>
  <c r="E11" i="6"/>
  <c r="M112" i="4"/>
  <c r="H16" i="17" s="1"/>
  <c r="G16" i="17" s="1"/>
  <c r="K112" i="4"/>
  <c r="H14" i="17" s="1"/>
  <c r="G14" i="17" s="1"/>
  <c r="O112" i="4"/>
  <c r="H18" i="17" s="1"/>
  <c r="G18" i="17" s="1"/>
  <c r="L112" i="4"/>
  <c r="H15" i="17" s="1"/>
  <c r="G15" i="17" s="1"/>
  <c r="P50" i="4"/>
  <c r="Y19" i="17"/>
  <c r="F18" i="17" s="1"/>
  <c r="W19" i="17"/>
  <c r="F16" i="17" s="1"/>
  <c r="U19" i="17"/>
  <c r="F14" i="17" s="1"/>
  <c r="V19" i="17"/>
  <c r="F15" i="17" s="1"/>
  <c r="T19" i="17"/>
  <c r="F13" i="17" s="1"/>
  <c r="S19" i="17"/>
  <c r="F12" i="17" s="1"/>
  <c r="Z16" i="17"/>
  <c r="C20" i="13" s="1"/>
  <c r="C21" i="13" s="1"/>
  <c r="C23" i="13" s="1"/>
  <c r="H28" i="15" s="1"/>
  <c r="Z17" i="17"/>
  <c r="G112" i="4"/>
  <c r="H10" i="17" s="1"/>
  <c r="G10" i="17" s="1"/>
  <c r="H112" i="4"/>
  <c r="H11" i="17" s="1"/>
  <c r="G11" i="17" s="1"/>
  <c r="P108" i="4"/>
  <c r="P19" i="17"/>
  <c r="F9" i="17" s="1"/>
  <c r="X19" i="17"/>
  <c r="F17" i="17" s="1"/>
  <c r="Q19" i="17"/>
  <c r="F10" i="17" s="1"/>
  <c r="B12" i="6"/>
  <c r="B26" i="6"/>
  <c r="B41" i="6" s="1"/>
  <c r="B56" i="6" s="1"/>
  <c r="J112" i="4"/>
  <c r="H13" i="17" s="1"/>
  <c r="G13" i="17" s="1"/>
  <c r="E112" i="4"/>
  <c r="H8" i="17" s="1"/>
  <c r="G8" i="17" s="1"/>
  <c r="N19" i="17"/>
  <c r="F7" i="17" s="1"/>
  <c r="Z18" i="17"/>
  <c r="O19" i="17"/>
  <c r="F8" i="17" s="1"/>
  <c r="R19" i="17"/>
  <c r="F11" i="17" s="1"/>
  <c r="F14" i="14"/>
  <c r="F15" i="14"/>
  <c r="C18" i="14" s="1"/>
  <c r="C20" i="14" s="1"/>
  <c r="C24" i="14" s="1"/>
  <c r="D30" i="15" s="1"/>
  <c r="N112" i="4"/>
  <c r="H17" i="17" s="1"/>
  <c r="P102" i="4"/>
  <c r="I112" i="4"/>
  <c r="H12" i="17" s="1"/>
  <c r="G12" i="17" s="1"/>
  <c r="P81" i="4"/>
  <c r="P111" i="4"/>
  <c r="F112" i="4"/>
  <c r="H9" i="17" s="1"/>
  <c r="G9" i="17" s="1"/>
  <c r="P105" i="4"/>
  <c r="D112" i="4"/>
  <c r="P93" i="4"/>
  <c r="K15" i="6"/>
  <c r="G17" i="17" l="1"/>
  <c r="J17" i="17" s="1"/>
  <c r="J16" i="17"/>
  <c r="H22" i="4"/>
  <c r="H53" i="4" s="1"/>
  <c r="H84" i="4" s="1"/>
  <c r="I9" i="4"/>
  <c r="E12" i="6"/>
  <c r="E26" i="6"/>
  <c r="E41" i="6" s="1"/>
  <c r="E56" i="6" s="1"/>
  <c r="J14" i="17"/>
  <c r="J15" i="17"/>
  <c r="J18" i="17"/>
  <c r="J13" i="17"/>
  <c r="J12" i="17"/>
  <c r="J9" i="17"/>
  <c r="Z19" i="17"/>
  <c r="F19" i="17"/>
  <c r="J8" i="17"/>
  <c r="J11" i="17"/>
  <c r="B13" i="6"/>
  <c r="B27" i="6"/>
  <c r="B42" i="6" s="1"/>
  <c r="B57" i="6" s="1"/>
  <c r="J10" i="17"/>
  <c r="C12" i="13"/>
  <c r="C26" i="13" s="1"/>
  <c r="D28" i="15" s="1"/>
  <c r="H7" i="17"/>
  <c r="P112" i="4"/>
  <c r="H29" i="15"/>
  <c r="J9" i="4" l="1"/>
  <c r="I22" i="4"/>
  <c r="I53" i="4" s="1"/>
  <c r="I84" i="4" s="1"/>
  <c r="E13" i="6"/>
  <c r="E27" i="6"/>
  <c r="E42" i="6" s="1"/>
  <c r="E57" i="6" s="1"/>
  <c r="B14" i="6"/>
  <c r="B28" i="6"/>
  <c r="B43" i="6" s="1"/>
  <c r="B58" i="6" s="1"/>
  <c r="H33" i="15"/>
  <c r="H19" i="17"/>
  <c r="C12" i="17" s="1"/>
  <c r="G7" i="17"/>
  <c r="H30" i="15" l="1"/>
  <c r="D29" i="15"/>
  <c r="K9" i="4"/>
  <c r="J22" i="4"/>
  <c r="J53" i="4" s="1"/>
  <c r="J84" i="4" s="1"/>
  <c r="E14" i="6"/>
  <c r="E28" i="6"/>
  <c r="E43" i="6" s="1"/>
  <c r="E58" i="6" s="1"/>
  <c r="B15" i="6"/>
  <c r="B29" i="6"/>
  <c r="B44" i="6" s="1"/>
  <c r="B59" i="6" s="1"/>
  <c r="J7" i="17"/>
  <c r="J19" i="17" s="1"/>
  <c r="G19" i="17"/>
  <c r="C11" i="17" l="1"/>
  <c r="C10" i="17" s="1"/>
  <c r="D31" i="15" s="1"/>
  <c r="G16" i="20"/>
  <c r="G20" i="20" s="1"/>
  <c r="K22" i="4"/>
  <c r="K53" i="4" s="1"/>
  <c r="K84" i="4" s="1"/>
  <c r="L9" i="4"/>
  <c r="E15" i="6"/>
  <c r="E29" i="6"/>
  <c r="E44" i="6" s="1"/>
  <c r="E59" i="6" s="1"/>
  <c r="B16" i="6"/>
  <c r="B30" i="6"/>
  <c r="B45" i="6" s="1"/>
  <c r="B60" i="6" s="1"/>
  <c r="H31" i="15" l="1"/>
  <c r="H32" i="15" s="1"/>
  <c r="D32" i="15"/>
  <c r="M9" i="4"/>
  <c r="L22" i="4"/>
  <c r="L53" i="4" s="1"/>
  <c r="L84" i="4" s="1"/>
  <c r="E16" i="6"/>
  <c r="E30" i="6"/>
  <c r="E45" i="6" s="1"/>
  <c r="E60" i="6" s="1"/>
  <c r="B17" i="6"/>
  <c r="B31" i="6"/>
  <c r="B46" i="6" s="1"/>
  <c r="B61" i="6" s="1"/>
  <c r="D33" i="15" l="1"/>
  <c r="H27" i="16" s="1"/>
  <c r="M22" i="4"/>
  <c r="M53" i="4" s="1"/>
  <c r="M84" i="4" s="1"/>
  <c r="N9" i="4"/>
  <c r="E17" i="6"/>
  <c r="E31" i="6"/>
  <c r="E46" i="6" s="1"/>
  <c r="E61" i="6" s="1"/>
  <c r="B18" i="6"/>
  <c r="B32" i="6"/>
  <c r="B47" i="6" s="1"/>
  <c r="B62" i="6" s="1"/>
  <c r="M17" i="16" l="1"/>
  <c r="M21" i="16"/>
  <c r="L21" i="16"/>
  <c r="M16" i="16"/>
  <c r="M14" i="16"/>
  <c r="L17" i="16"/>
  <c r="L14" i="16"/>
  <c r="M12" i="16"/>
  <c r="M15" i="16"/>
  <c r="L16" i="16"/>
  <c r="L12" i="16"/>
  <c r="L13" i="16"/>
  <c r="L22" i="16"/>
  <c r="L15" i="16"/>
  <c r="M22" i="16"/>
  <c r="M13" i="16"/>
  <c r="N22" i="4"/>
  <c r="N53" i="4" s="1"/>
  <c r="N84" i="4" s="1"/>
  <c r="O9" i="4"/>
  <c r="O22" i="4" s="1"/>
  <c r="O53" i="4" s="1"/>
  <c r="O84" i="4" s="1"/>
  <c r="E18" i="6"/>
  <c r="E32" i="6"/>
  <c r="E47" i="6" s="1"/>
  <c r="E62" i="6" s="1"/>
  <c r="B19" i="6"/>
  <c r="B34" i="6" s="1"/>
  <c r="B49" i="6" s="1"/>
  <c r="B64" i="6" s="1"/>
  <c r="B33" i="6"/>
  <c r="B48" i="6" s="1"/>
  <c r="B63" i="6" s="1"/>
  <c r="E19" i="6" l="1"/>
  <c r="E34" i="6" s="1"/>
  <c r="E49" i="6" s="1"/>
  <c r="E64" i="6" s="1"/>
  <c r="E33" i="6"/>
  <c r="E48" i="6" s="1"/>
  <c r="E63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PORTAL</author>
  </authors>
  <commentList>
    <comment ref="B13" authorId="0" shapeId="0" xr:uid="{00000000-0006-0000-0200-000001000000}">
      <text>
        <r>
          <rPr>
            <b/>
            <sz val="9"/>
            <color indexed="81"/>
            <rFont val="Calibri"/>
            <family val="2"/>
          </rPr>
          <t xml:space="preserve">Bes é igual ao benefício econômico de saneamento, calculado com base no volume faturado de água e esgotos e na tarifa média praticada, levando-se em conta os dados de cada mês;
Vf é igual ao somatório dos volumes faturados de água e de esgotos, expressos em metros cúbicos; e,
Tm é a tarifa média, expressa em reais, obtida pela divisão da Receita Operacional Direta – ROD, que é a receita obtida com o faturamento mensal de água e esgoto, pelo volume total de água e esgoto faturado no mesmo mês.
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20" authorId="0" shapeId="0" xr:uid="{00000000-0006-0000-0200-000002000000}">
      <text>
        <r>
          <rPr>
            <b/>
            <sz val="9"/>
            <color indexed="81"/>
            <rFont val="Calibri"/>
            <family val="2"/>
          </rPr>
          <t xml:space="preserve">Beu(a) é o benefício econômico de uso auferido pelos prestadores de serviços públicos, calculado pela multiplicação do somatório dos volumes produzidos de água e de coleta de esgoto sanitário, pela tarifa média praticada, levando-se em consideração os dados de cada mês;
Vp é igual ao somatório dos volumes produzidos de água e de coleta de esgotos sanitários, expressos em metros cúbicos; e
Tm é a tarifa média, expressa em reais, obtida na forma prevista no art. 2º, § 2º, desta Lei Complementar.
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<sst xmlns="http://schemas.openxmlformats.org/spreadsheetml/2006/main" count="502" uniqueCount="304">
  <si>
    <t xml:space="preserve">                                                    Valor das Tarifas para 2019</t>
  </si>
  <si>
    <t xml:space="preserve"> Tarifas resultantes do IRT 2018</t>
  </si>
  <si>
    <t>Reajuste 2019:  Tarifas resultantes do IRT 2019</t>
  </si>
  <si>
    <t>Tarifas dos serviços públicos de abastecimento de água e esgotamento sanitário a vigorar no período de 1º de junho de 2019 a 31 de maio de 2020</t>
  </si>
  <si>
    <t>Para Atividades Residenciais</t>
    <phoneticPr fontId="0" type="noConversion"/>
  </si>
  <si>
    <r>
      <t>Faixa de Consumo (m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</si>
  <si>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t>Tarifa Popular (R$)</t>
  </si>
  <si>
    <t>Tarifa Normal (R$)</t>
  </si>
  <si>
    <t>0 a 10</t>
  </si>
  <si>
    <t>11 a 15</t>
  </si>
  <si>
    <t>16 a 25</t>
  </si>
  <si>
    <t>26 a 35</t>
  </si>
  <si>
    <t>36 a 50</t>
  </si>
  <si>
    <t>Acima de 50</t>
  </si>
  <si>
    <t>Para Atividades Comerciais, Públicas e Industriais</t>
  </si>
  <si>
    <t>Tarifa Comercial e Pública (R$)</t>
  </si>
  <si>
    <t>Tarifa Industrial (R$)</t>
  </si>
  <si>
    <r>
      <t>Faixa de Consumo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</si>
  <si>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t>Acima de 10</t>
  </si>
  <si>
    <t>RESOLUÇÃO Nº 07, DE 27 DE ABRIL DE 2018</t>
  </si>
  <si>
    <t>IRT 2019</t>
  </si>
  <si>
    <t xml:space="preserve">                                                    Valor do IRT 2019</t>
  </si>
  <si>
    <t>Parâmetros</t>
    <phoneticPr fontId="0" type="noConversion"/>
  </si>
  <si>
    <t>Data</t>
    <phoneticPr fontId="0" type="noConversion"/>
  </si>
  <si>
    <t>Data do Reajuste</t>
    <phoneticPr fontId="0" type="noConversion"/>
  </si>
  <si>
    <t>01/06/2019</t>
  </si>
  <si>
    <t xml:space="preserve">Vigência do IRT </t>
    <phoneticPr fontId="0" type="noConversion"/>
  </si>
  <si>
    <t>01/06/2019 a 31/05/2020</t>
  </si>
  <si>
    <t xml:space="preserve">DRA: Data  de Referência Anterior </t>
    <phoneticPr fontId="0" type="noConversion"/>
  </si>
  <si>
    <t>01/06/2018</t>
  </si>
  <si>
    <t xml:space="preserve">DRP: Data de Reajuste em Processamento </t>
    <phoneticPr fontId="0" type="noConversion"/>
  </si>
  <si>
    <t>Período de Referência (parcela A + parcela B): 12 meses</t>
  </si>
  <si>
    <t>jan/2018 a dez/2018</t>
  </si>
  <si>
    <t>Mercado de Referência (parcela A + parcela B): Volume de Água e de Esgoto</t>
  </si>
  <si>
    <t>Período de Referência (Bônus-Desconto): 12 meses</t>
  </si>
  <si>
    <t>jan/2017 a dez/2017</t>
  </si>
  <si>
    <t>Período de Apuração (Bônus-Desconto): 12 meses</t>
  </si>
  <si>
    <r>
      <t>Tarifas DRA (R$/m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</si>
  <si>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t xml:space="preserve">Tarifa de Parcela A:                                                                    </t>
  </si>
  <si>
    <r>
      <t>TA</t>
    </r>
    <r>
      <rPr>
        <vertAlign val="subscript"/>
        <sz val="11"/>
        <rFont val="Arial"/>
        <family val="2"/>
      </rPr>
      <t>DRA</t>
    </r>
  </si>
  <si>
    <t>Tarifa bônus-desconto</t>
  </si>
  <si>
    <r>
      <t>TA-BD</t>
    </r>
    <r>
      <rPr>
        <vertAlign val="subscript"/>
        <sz val="11"/>
        <color indexed="8"/>
        <rFont val="Arial"/>
        <family val="2"/>
      </rPr>
      <t>DRA</t>
    </r>
  </si>
  <si>
    <t xml:space="preserve">Tarifa de Parcela B: </t>
    <phoneticPr fontId="0" type="noConversion"/>
  </si>
  <si>
    <r>
      <t>TB</t>
    </r>
    <r>
      <rPr>
        <vertAlign val="subscript"/>
        <sz val="11"/>
        <rFont val="Arial"/>
        <family val="2"/>
      </rPr>
      <t>DRA</t>
    </r>
  </si>
  <si>
    <t>Tarifa de Componentes Financeiros</t>
  </si>
  <si>
    <r>
      <t>TF</t>
    </r>
    <r>
      <rPr>
        <vertAlign val="subscript"/>
        <sz val="11"/>
        <rFont val="Arial"/>
        <family val="2"/>
      </rPr>
      <t>DRA</t>
    </r>
  </si>
  <si>
    <t xml:space="preserve">Tarifa Final DRA: </t>
  </si>
  <si>
    <t>Fonte: IRT 2018 - Tarifa das Parcelas A, B e CF na DRP 2018</t>
  </si>
  <si>
    <t>Disponível em: http://www.adasa.df.gov.br/images/transparencia/informacoes_30_04/irt2018NT.PDF</t>
  </si>
  <si>
    <r>
      <t>Tarifas DRP (R$/m</t>
    </r>
    <r>
      <rPr>
        <vertAlign val="superscript"/>
        <sz val="11"/>
        <color theme="0"/>
        <rFont val="Arial"/>
        <family val="2"/>
      </rPr>
      <t>3</t>
    </r>
    <r>
      <rPr>
        <sz val="11"/>
        <color theme="0"/>
        <rFont val="Arial"/>
        <family val="2"/>
      </rPr>
      <t>)</t>
    </r>
  </si>
  <si>
    <t>Valores da DRP</t>
  </si>
  <si>
    <r>
      <t>TA</t>
    </r>
    <r>
      <rPr>
        <vertAlign val="subscript"/>
        <sz val="11"/>
        <rFont val="Arial"/>
        <family val="2"/>
      </rPr>
      <t>DRP</t>
    </r>
  </si>
  <si>
    <t xml:space="preserve">Valor da Parcela A: </t>
    <phoneticPr fontId="0" type="noConversion"/>
  </si>
  <si>
    <r>
      <t>VPA</t>
    </r>
    <r>
      <rPr>
        <vertAlign val="subscript"/>
        <sz val="11"/>
        <rFont val="Arial"/>
        <family val="2"/>
      </rPr>
      <t>DRP</t>
    </r>
  </si>
  <si>
    <r>
      <t>TA-BD</t>
    </r>
    <r>
      <rPr>
        <vertAlign val="subscript"/>
        <sz val="11"/>
        <rFont val="Arial"/>
        <family val="2"/>
      </rPr>
      <t>DRP</t>
    </r>
  </si>
  <si>
    <t>Valor do Bonus-Desconto - Parcela A:</t>
  </si>
  <si>
    <r>
      <t>VPA-BD</t>
    </r>
    <r>
      <rPr>
        <vertAlign val="subscript"/>
        <sz val="11"/>
        <rFont val="Arial"/>
        <family val="2"/>
      </rPr>
      <t>DRP</t>
    </r>
  </si>
  <si>
    <r>
      <t>TB</t>
    </r>
    <r>
      <rPr>
        <vertAlign val="subscript"/>
        <sz val="11"/>
        <rFont val="Arial"/>
        <family val="2"/>
      </rPr>
      <t>DRP</t>
    </r>
  </si>
  <si>
    <t xml:space="preserve">Valor da Parcela B: </t>
    <phoneticPr fontId="0" type="noConversion"/>
  </si>
  <si>
    <r>
      <t>VPB</t>
    </r>
    <r>
      <rPr>
        <vertAlign val="subscript"/>
        <sz val="11"/>
        <rFont val="Arial"/>
        <family val="2"/>
      </rPr>
      <t>DRP</t>
    </r>
  </si>
  <si>
    <t xml:space="preserve">Tarifa de Componentes Financeiros   </t>
  </si>
  <si>
    <r>
      <t>TF</t>
    </r>
    <r>
      <rPr>
        <vertAlign val="subscript"/>
        <sz val="11"/>
        <rFont val="Arial"/>
        <family val="2"/>
      </rPr>
      <t>DRP</t>
    </r>
  </si>
  <si>
    <t xml:space="preserve">Valor do Componente Financeiro </t>
  </si>
  <si>
    <r>
      <t>VCF</t>
    </r>
    <r>
      <rPr>
        <vertAlign val="subscript"/>
        <sz val="11"/>
        <rFont val="Arial"/>
        <family val="2"/>
      </rPr>
      <t>DRP</t>
    </r>
  </si>
  <si>
    <t xml:space="preserve">Tarifa Final DRP: </t>
  </si>
  <si>
    <t>T</t>
  </si>
  <si>
    <t>Receita Anual:</t>
  </si>
  <si>
    <t>RA</t>
  </si>
  <si>
    <t>Índice de Reajuste Tarifário</t>
  </si>
  <si>
    <t>MR</t>
    <phoneticPr fontId="0" type="noConversion"/>
  </si>
  <si>
    <t xml:space="preserve">                                                    Valor da Parcela A - 2019 - DRP</t>
  </si>
  <si>
    <t>Taxas</t>
  </si>
  <si>
    <t>%</t>
  </si>
  <si>
    <t>Taxa de Fiscalização do Serviço - TFS</t>
    <phoneticPr fontId="0" type="noConversion"/>
  </si>
  <si>
    <t>Volume Faturado de Água (m3)</t>
    <phoneticPr fontId="0" type="noConversion"/>
  </si>
  <si>
    <t>Volume Faturado de Esgoto (m3)</t>
    <phoneticPr fontId="0" type="noConversion"/>
  </si>
  <si>
    <t>Volume Faturado Total  (m3)</t>
  </si>
  <si>
    <t>Benefício Econômico de Saneamento - Bes (R$)</t>
    <phoneticPr fontId="0" type="noConversion"/>
  </si>
  <si>
    <t>TFS = 1% x Bes (R$)</t>
  </si>
  <si>
    <t>Taxa de Fiscalização do Uso - TFU</t>
    <phoneticPr fontId="0" type="noConversion"/>
  </si>
  <si>
    <t>Volume de Água Produzida (m3)</t>
    <phoneticPr fontId="0" type="noConversion"/>
  </si>
  <si>
    <t>Volume de Esgoto Coletado (m3)</t>
    <phoneticPr fontId="0" type="noConversion"/>
  </si>
  <si>
    <t>Volume Produzido e Coletado Total - Vp (m3)</t>
    <phoneticPr fontId="0" type="noConversion"/>
  </si>
  <si>
    <t>Benefício Econômico de Uso Auferido - Beu(a) (R$)</t>
    <phoneticPr fontId="0" type="noConversion"/>
  </si>
  <si>
    <t>TFU = 2,5% x Beu(a) (R$)</t>
  </si>
  <si>
    <t>Tarifa de Parcela A</t>
  </si>
  <si>
    <t xml:space="preserve">                                                    Valor da Parcela B 2019 - DRP</t>
  </si>
  <si>
    <t>IrB (%)</t>
    <phoneticPr fontId="0" type="noConversion"/>
  </si>
  <si>
    <t>Descrição</t>
  </si>
  <si>
    <t>Custos</t>
  </si>
  <si>
    <t>Proporção (%)</t>
  </si>
  <si>
    <t>Variação (%)</t>
    <phoneticPr fontId="0" type="noConversion"/>
  </si>
  <si>
    <t>(%)</t>
    <phoneticPr fontId="0" type="noConversion"/>
  </si>
  <si>
    <t>%P x ΔINPC</t>
    <phoneticPr fontId="0" type="noConversion"/>
  </si>
  <si>
    <t>%EE x Δenergia</t>
    <phoneticPr fontId="0" type="noConversion"/>
  </si>
  <si>
    <t>%MT x ΔIGP-M</t>
    <phoneticPr fontId="0" type="noConversion"/>
  </si>
  <si>
    <t>%RI x ΔIGP-M</t>
    <phoneticPr fontId="0" type="noConversion"/>
  </si>
  <si>
    <t>% OC x ΔIPCA</t>
    <phoneticPr fontId="0" type="noConversion"/>
  </si>
  <si>
    <t>Total</t>
  </si>
  <si>
    <t>IrB = (%P x ΔINPC) + (%EE x ΔEnergia) + (%MT x ΔIGP-M) + (%RI x ΔIGP-M) + (% OC x ΔIPCA)</t>
  </si>
  <si>
    <t>Fonte: 2ª Revisão Tarifária Periódica</t>
  </si>
  <si>
    <t>Índice que Reajusta a Parcela B</t>
    <phoneticPr fontId="0" type="noConversion"/>
  </si>
  <si>
    <t>IrB</t>
    <phoneticPr fontId="0" type="noConversion"/>
  </si>
  <si>
    <t>Fator X</t>
    <phoneticPr fontId="0" type="noConversion"/>
  </si>
  <si>
    <t>Índice Acumulado = IrB - X</t>
  </si>
  <si>
    <t>Tarifa de Parcela B</t>
    <phoneticPr fontId="0" type="noConversion"/>
  </si>
  <si>
    <t>DISCRIMINAÇÃO</t>
  </si>
  <si>
    <t>CPA</t>
  </si>
  <si>
    <t>VPA</t>
  </si>
  <si>
    <t>MR</t>
  </si>
  <si>
    <t>IPCA</t>
  </si>
  <si>
    <t>CF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</si>
  <si>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</si>
  <si>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</si>
  <si>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</si>
  <si>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</si>
  <si>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</si>
  <si>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</si>
  <si>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</si>
  <si>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</si>
  <si>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</si>
  <si>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</si>
  <si>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</si>
  <si>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</si>
  <si>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</si>
  <si>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jan</t>
  </si>
  <si>
    <t>Receita Operacional Direta</t>
  </si>
  <si>
    <t>R$</t>
  </si>
  <si>
    <t>fev</t>
  </si>
  <si>
    <r>
      <t xml:space="preserve">volume </t>
    </r>
    <r>
      <rPr>
        <sz val="11"/>
        <color indexed="8"/>
        <rFont val="Calibri"/>
        <family val="2"/>
      </rPr>
      <t>produzido Ag</t>
    </r>
  </si>
  <si>
    <t>m³</t>
  </si>
  <si>
    <t>mar</t>
  </si>
  <si>
    <r>
      <t xml:space="preserve">volume </t>
    </r>
    <r>
      <rPr>
        <sz val="11"/>
        <color indexed="8"/>
        <rFont val="Calibri"/>
        <family val="2"/>
      </rPr>
      <t>coletado Esg</t>
    </r>
  </si>
  <si>
    <t>abr</t>
  </si>
  <si>
    <t>Total vol prod Ag + Esg</t>
  </si>
  <si>
    <t>mai</t>
  </si>
  <si>
    <r>
      <t xml:space="preserve">volume </t>
    </r>
    <r>
      <rPr>
        <sz val="11"/>
        <color indexed="8"/>
        <rFont val="Calibri"/>
        <family val="2"/>
      </rPr>
      <t>faturado Ag</t>
    </r>
  </si>
  <si>
    <t>jun</t>
  </si>
  <si>
    <r>
      <t xml:space="preserve">volume </t>
    </r>
    <r>
      <rPr>
        <sz val="11"/>
        <color indexed="8"/>
        <rFont val="Calibri"/>
        <family val="2"/>
      </rPr>
      <t>faturado Esg</t>
    </r>
  </si>
  <si>
    <r>
      <t>TF</t>
    </r>
    <r>
      <rPr>
        <b/>
        <vertAlign val="subscript"/>
        <sz val="11"/>
        <color theme="1"/>
        <rFont val="Calibri"/>
        <family val="2"/>
        <scheme val="minor"/>
      </rPr>
      <t>DRP</t>
    </r>
  </si>
  <si>
    <t>jul</t>
  </si>
  <si>
    <t>Total vol fat Ag + Esg</t>
  </si>
  <si>
    <t>ago</t>
  </si>
  <si>
    <t>Tarifa Média</t>
  </si>
  <si>
    <t>R$/m³</t>
  </si>
  <si>
    <t>set</t>
  </si>
  <si>
    <t>Bes</t>
  </si>
  <si>
    <r>
      <t>TA</t>
    </r>
    <r>
      <rPr>
        <b/>
        <vertAlign val="subscript"/>
        <sz val="11"/>
        <color theme="1"/>
        <rFont val="Calibri"/>
        <family val="2"/>
        <scheme val="minor"/>
      </rPr>
      <t>DRA</t>
    </r>
  </si>
  <si>
    <t>out</t>
  </si>
  <si>
    <t>Beu</t>
  </si>
  <si>
    <t>nov</t>
  </si>
  <si>
    <t>TFU (2,5%)</t>
  </si>
  <si>
    <t>dez</t>
  </si>
  <si>
    <t>TFS (1%)</t>
  </si>
  <si>
    <t>MR - Mercado de Referência (m3) - jan a dez</t>
  </si>
  <si>
    <t>CPAi: custos da CONCESSIONÁRIA, em reais, referentes aos itens da Parcela A incorridos no mês (i) do Período de Referência;</t>
  </si>
  <si>
    <t>VPAi: valor, em reais, da receita da CONCESSIONÁRIA correspondente à Parcela A, no mês (i) do Período de Referência, ou seja, VPAi = TADRA X MRi;</t>
  </si>
  <si>
    <t>Valores da 2ª RTP</t>
  </si>
  <si>
    <t>Índices IPCA</t>
  </si>
  <si>
    <t>Resolução nº 14/2011 e 03/2012</t>
  </si>
  <si>
    <t>Publicações legais</t>
  </si>
  <si>
    <t>Resolução nº 14/2011 e 03/2012 em 2018</t>
  </si>
  <si>
    <t>Resolução nº 14/2011 e 03/2012 atualizado</t>
  </si>
  <si>
    <t>Fonte ipeadata.gov.br</t>
  </si>
  <si>
    <t>Contrato Serasa</t>
  </si>
  <si>
    <r>
      <t>Total TF-R</t>
    </r>
    <r>
      <rPr>
        <b/>
        <vertAlign val="subscript"/>
        <sz val="10"/>
        <rFont val="Arial"/>
        <family val="2"/>
      </rPr>
      <t>DRP</t>
    </r>
  </si>
  <si>
    <t>Parcela de Componentes Financeiros</t>
  </si>
  <si>
    <t>Comunicado prévio de corte no abastecimento</t>
  </si>
  <si>
    <t>Empresa A</t>
  </si>
  <si>
    <t>Variação da Parcela A</t>
  </si>
  <si>
    <t>Empresa B</t>
  </si>
  <si>
    <t>Empresa C</t>
  </si>
  <si>
    <t>Subtotal</t>
  </si>
  <si>
    <t>Conselho de consumidores</t>
  </si>
  <si>
    <t>Jornais e mídias</t>
  </si>
  <si>
    <t>DODF</t>
  </si>
  <si>
    <t>DOU</t>
  </si>
  <si>
    <t>Comunicados Bônus-desconto</t>
  </si>
  <si>
    <r>
      <t>Total TF-PL</t>
    </r>
    <r>
      <rPr>
        <b/>
        <vertAlign val="subscript"/>
        <sz val="10"/>
        <rFont val="Arial"/>
        <family val="2"/>
      </rPr>
      <t>DRP</t>
    </r>
  </si>
  <si>
    <t>Total de outos componentes financeiros</t>
  </si>
  <si>
    <t xml:space="preserve">Apuração do Bônus-Desconto para o Reajuste 2019 </t>
  </si>
  <si>
    <t>Categoria Residencial Normal</t>
  </si>
  <si>
    <t>Quadro Resumo - Bônus-Desconto</t>
  </si>
  <si>
    <t xml:space="preserve"> Período de Referência (A) </t>
  </si>
  <si>
    <r>
      <t xml:space="preserve">Consumo (m3) </t>
    </r>
    <r>
      <rPr>
        <b/>
        <sz val="12"/>
        <color theme="1"/>
        <rFont val="Calibri"/>
        <family val="2"/>
      </rPr>
      <t>¹</t>
    </r>
  </si>
  <si>
    <t xml:space="preserve">Período de Apuração (B) </t>
  </si>
  <si>
    <r>
      <t xml:space="preserve">Consumo (m3) </t>
    </r>
    <r>
      <rPr>
        <b/>
        <sz val="12"/>
        <color theme="1"/>
        <rFont val="Calibri"/>
        <family val="2"/>
      </rPr>
      <t>²</t>
    </r>
  </si>
  <si>
    <t xml:space="preserve">Economia  em m3 </t>
  </si>
  <si>
    <t>Residencial Normal</t>
  </si>
  <si>
    <t>Residencial Popular</t>
  </si>
  <si>
    <t>Comercial</t>
  </si>
  <si>
    <t>Industrial</t>
  </si>
  <si>
    <t xml:space="preserve">Economia (m3)  </t>
  </si>
  <si>
    <t xml:space="preserve">Bônus Desconto (%) -  Lei 4.341/09 </t>
  </si>
  <si>
    <t>Base de Cálculo (m3)</t>
  </si>
  <si>
    <t>Tarifa Inicial Residencial (R$)*</t>
  </si>
  <si>
    <t>Bonus-Desconto (R$)</t>
  </si>
  <si>
    <t>Ajustes</t>
  </si>
  <si>
    <t>Referentes a arredondamentos concedidos aos usuários</t>
  </si>
  <si>
    <t>* tarifas vigentes em Jun/2018 de acordo com a Resolução nº 007/2018 - ADASA de 27 de abril de 2018</t>
  </si>
  <si>
    <t>Bônus-desconto total</t>
  </si>
  <si>
    <t>Categoria Residencial Popular</t>
  </si>
  <si>
    <t>Fonte: CAESB</t>
  </si>
  <si>
    <t>Categoria Comercial</t>
  </si>
  <si>
    <t>Categoria Industrial</t>
  </si>
  <si>
    <t>Volume de Água Produzida e Volume de Esgoto Coletado - Ano 2018</t>
  </si>
  <si>
    <r>
      <t>Volume de Água Produzida e de Esgoto Coletado pela CAESB (m</t>
    </r>
    <r>
      <rPr>
        <b/>
        <vertAlign val="superscript"/>
        <sz val="11"/>
        <color indexed="9"/>
        <rFont val="Arial"/>
        <family val="2"/>
      </rPr>
      <t>3</t>
    </r>
    <r>
      <rPr>
        <b/>
        <sz val="11"/>
        <color indexed="9"/>
        <rFont val="Arial"/>
        <family val="2"/>
      </rPr>
      <t>)</t>
    </r>
  </si>
  <si>
    <t>Total</t>
    <phoneticPr fontId="1" type="noConversion"/>
  </si>
  <si>
    <t>Volume de Água Produzida</t>
    <phoneticPr fontId="1" type="noConversion"/>
  </si>
  <si>
    <t>Volume de Esgoto Coletado</t>
    <phoneticPr fontId="1" type="noConversion"/>
  </si>
  <si>
    <t>Volume de Água e Esgoto Faturado - Ano 2018</t>
  </si>
  <si>
    <r>
      <t>I - Volume Faturado de Água (m</t>
    </r>
    <r>
      <rPr>
        <b/>
        <vertAlign val="superscript"/>
        <sz val="11"/>
        <color indexed="9"/>
        <rFont val="Arial"/>
        <family val="2"/>
      </rPr>
      <t>3</t>
    </r>
    <r>
      <rPr>
        <b/>
        <sz val="11"/>
        <color indexed="9"/>
        <rFont val="Arial"/>
        <family val="2"/>
      </rPr>
      <t>)</t>
    </r>
  </si>
  <si>
    <t>Categoria</t>
  </si>
  <si>
    <t>Faixa</t>
  </si>
  <si>
    <t>0 - 10</t>
  </si>
  <si>
    <t xml:space="preserve">36 a 50 </t>
  </si>
  <si>
    <t>51 a 70</t>
  </si>
  <si>
    <t>71 a 100</t>
  </si>
  <si>
    <t>&gt; 100</t>
  </si>
  <si>
    <t>Sub-total</t>
  </si>
  <si>
    <t>0   -   10</t>
  </si>
  <si>
    <t>11  a  15</t>
  </si>
  <si>
    <t>16  a  25</t>
  </si>
  <si>
    <t>26  a  35</t>
  </si>
  <si>
    <t xml:space="preserve">36  a  50 </t>
  </si>
  <si>
    <t>51  a  70</t>
  </si>
  <si>
    <t>71  a  100</t>
  </si>
  <si>
    <t>0  -  10</t>
  </si>
  <si>
    <t>Pública</t>
  </si>
  <si>
    <t>Total Geral</t>
  </si>
  <si>
    <r>
      <t>II - Volume Faturado de Esgoto (m</t>
    </r>
    <r>
      <rPr>
        <b/>
        <vertAlign val="superscript"/>
        <sz val="11"/>
        <color indexed="9"/>
        <rFont val="Arial"/>
        <family val="2"/>
      </rPr>
      <t>3</t>
    </r>
    <r>
      <rPr>
        <b/>
        <sz val="11"/>
        <color indexed="9"/>
        <rFont val="Arial"/>
        <family val="2"/>
      </rPr>
      <t>)</t>
    </r>
  </si>
  <si>
    <t>III - Volume Faturado de Água e de Esgoto (m3)</t>
  </si>
  <si>
    <t>Indices Econômicos 2018</t>
  </si>
  <si>
    <t>Índices Econômicos</t>
    <phoneticPr fontId="0" type="noConversion"/>
  </si>
  <si>
    <t>Dados de Energia Elétrica 2017 e 2018</t>
  </si>
  <si>
    <t>Meses</t>
    <phoneticPr fontId="0" type="noConversion"/>
  </si>
  <si>
    <t>INPC</t>
    <phoneticPr fontId="0" type="noConversion"/>
  </si>
  <si>
    <t>IPCA</t>
    <phoneticPr fontId="0" type="noConversion"/>
  </si>
  <si>
    <t>IGPM</t>
    <phoneticPr fontId="0" type="noConversion"/>
  </si>
  <si>
    <t>Custo de Energia* (R$)</t>
    <phoneticPr fontId="0" type="noConversion"/>
  </si>
  <si>
    <t>Consumo** (MWh)</t>
    <phoneticPr fontId="0" type="noConversion"/>
  </si>
  <si>
    <t>Total (R$)</t>
  </si>
  <si>
    <t>Índice Acumulado (%)</t>
  </si>
  <si>
    <t>* Custo de Energia (R$): toda a despesa mensal incorrida pela CAESB com energia elétrica no referido mês</t>
  </si>
  <si>
    <t>Fonte: www.ipeadata.gov.br</t>
  </si>
  <si>
    <t>** Consumo (MWh): todo o consumo mensal de energia elétrica, em MWh, da CAESB no referido mês</t>
  </si>
  <si>
    <t>Δenergia</t>
    <phoneticPr fontId="0" type="noConversion"/>
  </si>
  <si>
    <t>Custo de Energia (R$)</t>
    <phoneticPr fontId="0" type="noConversion"/>
  </si>
  <si>
    <t>Consumo (MWh)</t>
    <phoneticPr fontId="0" type="noConversion"/>
  </si>
  <si>
    <t>R$/MWh</t>
  </si>
  <si>
    <t>Período de Referência</t>
    <phoneticPr fontId="0" type="noConversion"/>
  </si>
  <si>
    <t>Período de Referência Anterior</t>
    <phoneticPr fontId="0" type="noConversion"/>
  </si>
  <si>
    <t>Δenergia</t>
  </si>
  <si>
    <t>BALANÇO HÍDRICO - 2018</t>
  </si>
  <si>
    <t>Valores em 1000 x m³/ano</t>
  </si>
  <si>
    <r>
      <t>V</t>
    </r>
    <r>
      <rPr>
        <sz val="10"/>
        <rFont val="Arial"/>
        <family val="2"/>
      </rPr>
      <t xml:space="preserve">olume de Água </t>
    </r>
    <r>
      <rPr>
        <b/>
        <sz val="10"/>
        <color indexed="10"/>
        <rFont val="Arial"/>
        <family val="2"/>
      </rPr>
      <t>Fat</t>
    </r>
    <r>
      <rPr>
        <sz val="10"/>
        <rFont val="Arial"/>
        <family val="2"/>
      </rPr>
      <t xml:space="preserve">urado
</t>
    </r>
    <r>
      <rPr>
        <b/>
        <sz val="10"/>
        <color indexed="10"/>
        <rFont val="Arial"/>
        <family val="2"/>
      </rPr>
      <t>VFAT</t>
    </r>
  </si>
  <si>
    <r>
      <t xml:space="preserve">Volume de Água Faturado Não Consumido
</t>
    </r>
    <r>
      <rPr>
        <b/>
        <sz val="10"/>
        <rFont val="Arial"/>
        <family val="2"/>
      </rPr>
      <t>VFATnc</t>
    </r>
  </si>
  <si>
    <r>
      <t xml:space="preserve">Volume Total de Água Importada
</t>
    </r>
    <r>
      <rPr>
        <b/>
        <sz val="10"/>
        <rFont val="Arial"/>
        <family val="2"/>
      </rPr>
      <t>VTIM</t>
    </r>
  </si>
  <si>
    <r>
      <t xml:space="preserve">Volume Fornecido ao Sistema
</t>
    </r>
    <r>
      <rPr>
        <b/>
        <sz val="10"/>
        <color indexed="10"/>
        <rFont val="Arial"/>
        <family val="2"/>
      </rPr>
      <t>VFSI</t>
    </r>
  </si>
  <si>
    <r>
      <t xml:space="preserve">Volume Total de Água Exportado
</t>
    </r>
    <r>
      <rPr>
        <b/>
        <sz val="10"/>
        <color indexed="10"/>
        <rFont val="Arial"/>
        <family val="2"/>
      </rPr>
      <t>VTEX</t>
    </r>
  </si>
  <si>
    <r>
      <t>V</t>
    </r>
    <r>
      <rPr>
        <sz val="10"/>
        <rFont val="Arial"/>
        <family val="2"/>
      </rPr>
      <t xml:space="preserve">olume de Água de </t>
    </r>
    <r>
      <rPr>
        <b/>
        <sz val="10"/>
        <color indexed="10"/>
        <rFont val="Arial"/>
        <family val="2"/>
      </rPr>
      <t>C</t>
    </r>
    <r>
      <rPr>
        <sz val="10"/>
        <rFont val="Arial"/>
        <family val="2"/>
      </rPr>
      <t xml:space="preserve">onsumo </t>
    </r>
    <r>
      <rPr>
        <b/>
        <sz val="10"/>
        <color indexed="10"/>
        <rFont val="Arial"/>
        <family val="2"/>
      </rPr>
      <t>Au</t>
    </r>
    <r>
      <rPr>
        <sz val="10"/>
        <rFont val="Arial"/>
        <family val="2"/>
      </rPr>
      <t xml:space="preserve">torizado Total
</t>
    </r>
    <r>
      <rPr>
        <b/>
        <sz val="10"/>
        <color indexed="10"/>
        <rFont val="Arial"/>
        <family val="2"/>
      </rPr>
      <t>VCAU</t>
    </r>
  </si>
  <si>
    <r>
      <t>V</t>
    </r>
    <r>
      <rPr>
        <sz val="10"/>
        <rFont val="Arial"/>
        <family val="2"/>
      </rPr>
      <t xml:space="preserve">olume de </t>
    </r>
    <r>
      <rPr>
        <sz val="10"/>
        <rFont val="Arial"/>
        <family val="2"/>
      </rPr>
      <t>Á</t>
    </r>
    <r>
      <rPr>
        <sz val="10"/>
        <rFont val="Arial"/>
        <family val="2"/>
      </rPr>
      <t xml:space="preserve">gua de </t>
    </r>
    <r>
      <rPr>
        <b/>
        <sz val="10"/>
        <color indexed="10"/>
        <rFont val="Arial"/>
        <family val="2"/>
      </rPr>
      <t>C</t>
    </r>
    <r>
      <rPr>
        <sz val="10"/>
        <rFont val="Arial"/>
        <family val="2"/>
      </rPr>
      <t xml:space="preserve">onsumo </t>
    </r>
    <r>
      <rPr>
        <b/>
        <sz val="10"/>
        <color indexed="10"/>
        <rFont val="Arial"/>
        <family val="2"/>
      </rPr>
      <t>Au</t>
    </r>
    <r>
      <rPr>
        <sz val="10"/>
        <rFont val="Arial"/>
        <family val="2"/>
      </rPr>
      <t xml:space="preserve">torizado </t>
    </r>
    <r>
      <rPr>
        <b/>
        <sz val="10"/>
        <color indexed="10"/>
        <rFont val="Arial"/>
        <family val="2"/>
      </rPr>
      <t>F</t>
    </r>
    <r>
      <rPr>
        <sz val="10"/>
        <rFont val="Arial"/>
        <family val="2"/>
      </rPr>
      <t xml:space="preserve">aturado
</t>
    </r>
    <r>
      <rPr>
        <b/>
        <sz val="10"/>
        <color indexed="10"/>
        <rFont val="Arial"/>
        <family val="2"/>
      </rPr>
      <t>VCAUf</t>
    </r>
  </si>
  <si>
    <r>
      <t xml:space="preserve">Volume de Água Exportado Faturado
</t>
    </r>
    <r>
      <rPr>
        <b/>
        <sz val="10"/>
        <rFont val="Arial"/>
        <family val="2"/>
      </rPr>
      <t>VFATexp</t>
    </r>
  </si>
  <si>
    <r>
      <t xml:space="preserve">Volume de Água Faturado Medido
</t>
    </r>
    <r>
      <rPr>
        <b/>
        <sz val="10"/>
        <rFont val="Arial"/>
        <family val="2"/>
      </rPr>
      <t>VFATm</t>
    </r>
  </si>
  <si>
    <t>Volume Distribuído
VDIS</t>
  </si>
  <si>
    <r>
      <t xml:space="preserve">Volume de Água Faturado Não Medido
</t>
    </r>
    <r>
      <rPr>
        <b/>
        <sz val="10"/>
        <rFont val="Arial"/>
        <family val="2"/>
      </rPr>
      <t>VFATnm</t>
    </r>
  </si>
  <si>
    <r>
      <t xml:space="preserve">Volume de Fonte Própria
</t>
    </r>
    <r>
      <rPr>
        <b/>
        <sz val="10"/>
        <rFont val="Arial"/>
        <family val="2"/>
      </rPr>
      <t>VFPR</t>
    </r>
  </si>
  <si>
    <r>
      <t>V</t>
    </r>
    <r>
      <rPr>
        <sz val="10"/>
        <rFont val="Arial"/>
        <family val="2"/>
      </rPr>
      <t xml:space="preserve">olume de Água de </t>
    </r>
    <r>
      <rPr>
        <b/>
        <sz val="10"/>
        <color indexed="10"/>
        <rFont val="Arial"/>
        <family val="2"/>
      </rPr>
      <t>C</t>
    </r>
    <r>
      <rPr>
        <sz val="10"/>
        <rFont val="Arial"/>
        <family val="2"/>
      </rPr>
      <t xml:space="preserve">onsumo </t>
    </r>
    <r>
      <rPr>
        <b/>
        <sz val="10"/>
        <color indexed="10"/>
        <rFont val="Arial"/>
        <family val="2"/>
      </rPr>
      <t>Au</t>
    </r>
    <r>
      <rPr>
        <sz val="10"/>
        <rFont val="Arial"/>
        <family val="2"/>
      </rPr>
      <t xml:space="preserve">torizado </t>
    </r>
    <r>
      <rPr>
        <b/>
        <sz val="10"/>
        <color indexed="10"/>
        <rFont val="Arial"/>
        <family val="2"/>
      </rPr>
      <t>N</t>
    </r>
    <r>
      <rPr>
        <sz val="10"/>
        <rFont val="Arial"/>
        <family val="2"/>
      </rPr>
      <t xml:space="preserve">ão </t>
    </r>
    <r>
      <rPr>
        <b/>
        <sz val="10"/>
        <color indexed="10"/>
        <rFont val="Arial"/>
        <family val="2"/>
      </rPr>
      <t>F</t>
    </r>
    <r>
      <rPr>
        <sz val="10"/>
        <rFont val="Arial"/>
        <family val="2"/>
      </rPr>
      <t xml:space="preserve">aturado
</t>
    </r>
    <r>
      <rPr>
        <b/>
        <sz val="10"/>
        <color indexed="10"/>
        <rFont val="Arial"/>
        <family val="2"/>
      </rPr>
      <t>VCAUnf</t>
    </r>
  </si>
  <si>
    <r>
      <t>V</t>
    </r>
    <r>
      <rPr>
        <sz val="10"/>
        <rFont val="Arial"/>
        <family val="2"/>
      </rPr>
      <t xml:space="preserve">olume de </t>
    </r>
    <r>
      <rPr>
        <b/>
        <sz val="10"/>
        <color indexed="10"/>
        <rFont val="Arial"/>
        <family val="2"/>
      </rPr>
      <t>Á</t>
    </r>
    <r>
      <rPr>
        <sz val="10"/>
        <rFont val="Arial"/>
        <family val="2"/>
      </rPr>
      <t xml:space="preserve">gua </t>
    </r>
    <r>
      <rPr>
        <b/>
        <sz val="10"/>
        <color indexed="10"/>
        <rFont val="Arial"/>
        <family val="2"/>
      </rPr>
      <t>N</t>
    </r>
    <r>
      <rPr>
        <sz val="10"/>
        <rFont val="Arial"/>
        <family val="2"/>
      </rPr>
      <t xml:space="preserve">ão </t>
    </r>
    <r>
      <rPr>
        <b/>
        <sz val="10"/>
        <color indexed="10"/>
        <rFont val="Arial"/>
        <family val="2"/>
      </rPr>
      <t>F</t>
    </r>
    <r>
      <rPr>
        <sz val="10"/>
        <rFont val="Arial"/>
        <family val="2"/>
      </rPr>
      <t xml:space="preserve">aturado
</t>
    </r>
    <r>
      <rPr>
        <b/>
        <sz val="10"/>
        <color indexed="10"/>
        <rFont val="Arial"/>
        <family val="2"/>
      </rPr>
      <t>VANF</t>
    </r>
  </si>
  <si>
    <r>
      <t xml:space="preserve">Volume de Água Não Faturado Medido
</t>
    </r>
    <r>
      <rPr>
        <b/>
        <sz val="10"/>
        <rFont val="Arial"/>
        <family val="2"/>
      </rPr>
      <t>VANFm</t>
    </r>
  </si>
  <si>
    <r>
      <t xml:space="preserve">Volume de Água Não Faturado Não Medido 
</t>
    </r>
    <r>
      <rPr>
        <b/>
        <sz val="10"/>
        <rFont val="Arial"/>
        <family val="2"/>
      </rPr>
      <t>VANFnm</t>
    </r>
  </si>
  <si>
    <r>
      <t>V</t>
    </r>
    <r>
      <rPr>
        <sz val="10"/>
        <rFont val="Arial"/>
        <family val="2"/>
      </rPr>
      <t xml:space="preserve">olume de </t>
    </r>
    <r>
      <rPr>
        <b/>
        <sz val="10"/>
        <color indexed="10"/>
        <rFont val="Arial"/>
        <family val="2"/>
      </rPr>
      <t>P</t>
    </r>
    <r>
      <rPr>
        <sz val="10"/>
        <rFont val="Arial"/>
        <family val="2"/>
      </rPr>
      <t xml:space="preserve">erdas de </t>
    </r>
    <r>
      <rPr>
        <b/>
        <sz val="10"/>
        <color indexed="10"/>
        <rFont val="Arial"/>
        <family val="2"/>
      </rPr>
      <t>Ág</t>
    </r>
    <r>
      <rPr>
        <sz val="10"/>
        <rFont val="Arial"/>
        <family val="2"/>
      </rPr>
      <t xml:space="preserve">ua
</t>
    </r>
    <r>
      <rPr>
        <b/>
        <sz val="10"/>
        <color indexed="10"/>
        <rFont val="Arial"/>
        <family val="2"/>
      </rPr>
      <t>VPAG</t>
    </r>
    <r>
      <rPr>
        <b/>
        <sz val="10"/>
        <rFont val="Arial"/>
        <family val="2"/>
      </rPr>
      <t xml:space="preserve"> =</t>
    </r>
    <r>
      <rPr>
        <sz val="10"/>
        <rFont val="Arial"/>
        <family val="2"/>
      </rPr>
      <t xml:space="preserve"> VDIS - VCAU</t>
    </r>
  </si>
  <si>
    <r>
      <t>V</t>
    </r>
    <r>
      <rPr>
        <sz val="10"/>
        <rFont val="Arial"/>
        <family val="2"/>
      </rPr>
      <t xml:space="preserve">olume de </t>
    </r>
    <r>
      <rPr>
        <b/>
        <sz val="10"/>
        <color indexed="10"/>
        <rFont val="Arial"/>
        <family val="2"/>
      </rPr>
      <t>P</t>
    </r>
    <r>
      <rPr>
        <sz val="10"/>
        <rFont val="Arial"/>
        <family val="2"/>
      </rPr>
      <t xml:space="preserve">erdas </t>
    </r>
    <r>
      <rPr>
        <b/>
        <sz val="10"/>
        <color indexed="10"/>
        <rFont val="Arial"/>
        <family val="2"/>
      </rPr>
      <t>Ap</t>
    </r>
    <r>
      <rPr>
        <sz val="10"/>
        <rFont val="Arial"/>
        <family val="2"/>
      </rPr>
      <t xml:space="preserve">arentes
</t>
    </r>
    <r>
      <rPr>
        <b/>
        <sz val="10"/>
        <color indexed="10"/>
        <rFont val="Arial"/>
        <family val="2"/>
      </rPr>
      <t>VPAP</t>
    </r>
  </si>
  <si>
    <r>
      <t xml:space="preserve">Volume de Consumo Não Autorizado 
</t>
    </r>
    <r>
      <rPr>
        <b/>
        <sz val="10"/>
        <rFont val="Arial"/>
        <family val="2"/>
      </rPr>
      <t>VPAPna</t>
    </r>
  </si>
  <si>
    <r>
      <t xml:space="preserve">Volume de Perdas por Submedição em Hidrômetros 
</t>
    </r>
    <r>
      <rPr>
        <b/>
        <sz val="10"/>
        <rFont val="Arial"/>
        <family val="2"/>
      </rPr>
      <t>VPAPs</t>
    </r>
  </si>
  <si>
    <r>
      <t>V</t>
    </r>
    <r>
      <rPr>
        <sz val="10"/>
        <rFont val="Arial"/>
        <family val="2"/>
      </rPr>
      <t xml:space="preserve">olume de </t>
    </r>
    <r>
      <rPr>
        <b/>
        <sz val="10"/>
        <color indexed="10"/>
        <rFont val="Arial"/>
        <family val="2"/>
      </rPr>
      <t>P</t>
    </r>
    <r>
      <rPr>
        <sz val="10"/>
        <rFont val="Arial"/>
        <family val="2"/>
      </rPr>
      <t xml:space="preserve">erdas </t>
    </r>
    <r>
      <rPr>
        <b/>
        <sz val="10"/>
        <color indexed="10"/>
        <rFont val="Arial"/>
        <family val="2"/>
      </rPr>
      <t>Re</t>
    </r>
    <r>
      <rPr>
        <sz val="10"/>
        <rFont val="Arial"/>
        <family val="2"/>
      </rPr>
      <t xml:space="preserve">ais
</t>
    </r>
    <r>
      <rPr>
        <b/>
        <sz val="10"/>
        <color indexed="10"/>
        <rFont val="Arial"/>
        <family val="2"/>
      </rPr>
      <t>VPRE</t>
    </r>
  </si>
  <si>
    <r>
      <t xml:space="preserve">Volume de vazamento nas redes
</t>
    </r>
    <r>
      <rPr>
        <b/>
        <sz val="10"/>
        <rFont val="Arial"/>
        <family val="2"/>
      </rPr>
      <t>VPREredes</t>
    </r>
  </si>
  <si>
    <r>
      <t xml:space="preserve">Volume de vazamentos e extravasamentos em reservatórios
</t>
    </r>
    <r>
      <rPr>
        <b/>
        <sz val="10"/>
        <rFont val="Arial"/>
        <family val="2"/>
      </rPr>
      <t xml:space="preserve">VPREoutras </t>
    </r>
  </si>
  <si>
    <r>
      <t xml:space="preserve">Volume de vazamentos em ramais prediais até o hidrômetro
</t>
    </r>
    <r>
      <rPr>
        <b/>
        <sz val="10"/>
        <rFont val="Arial"/>
        <family val="2"/>
      </rPr>
      <t xml:space="preserve">VPREramais </t>
    </r>
    <r>
      <rPr>
        <b/>
        <sz val="10"/>
        <color indexed="10"/>
        <rFont val="Arial"/>
        <family val="2"/>
      </rPr>
      <t xml:space="preserve"> </t>
    </r>
  </si>
  <si>
    <t>Notas:</t>
  </si>
  <si>
    <t>(1) Os dados utilizados no presente Balanço Hídrico são referentes ao período de janeiro de 2016 a dezembro de 2017.</t>
  </si>
  <si>
    <t>(2) A parte da produção rural não micromedida foi considerada como VANFnm</t>
  </si>
  <si>
    <t>(3) Elaboração: PGOCP/PGOC/PGO/DP</t>
  </si>
  <si>
    <t>Perdas</t>
  </si>
  <si>
    <t>Fórmulas</t>
  </si>
  <si>
    <t xml:space="preserve"> Tarifas resultantes do IRT 2017</t>
  </si>
  <si>
    <t>RESOLUÇÃO Nº 07, DE 28 DE ABRIL DE 2017</t>
  </si>
  <si>
    <t>IRT 2018</t>
  </si>
  <si>
    <t>Tarifas dos serviços públicos de abastecimento de água e esgotamento sanitário vigentes no período de 1º de junho de 2017 a 31 de maio de 2018*</t>
  </si>
  <si>
    <t>Tarifas dos serviços públicos de abastecimento de água e esgotamento sanitário vigentes no período de 1º de junho de 2018 a 31 de maio de 2019*</t>
  </si>
  <si>
    <t>* Tarifa econômica, não considera a Revisão Tarifária Extraordinária. Em função de decisão de Assembléia de Acionistas da Caesb válida de 1º de abril de 2019 a 31 de maio de 2019.</t>
  </si>
  <si>
    <t>Reajuste 2018:  Tarifas resultantes do IRT 2018 - Com impacto da RTE*</t>
  </si>
  <si>
    <t>* Utilizada somente para cálculo do bônus-desconto</t>
  </si>
  <si>
    <t>Tarifas dos serviços públicos de abastecimento de água e esgotamento sanitário a vigorar no período de 1º de junho de 2018 a 31 de maio de 2019*</t>
  </si>
  <si>
    <t>* Em função de decisão de Assembléia de Acionistas da Caesb, válida de 1º de junho de 2017 a 31 de março de 2019</t>
  </si>
  <si>
    <t>Valores considerados nos custos operacionais da 2ª RTP atualizados para dez/2018</t>
  </si>
  <si>
    <t>Variação IPCA 2018-2015</t>
  </si>
  <si>
    <r>
      <t xml:space="preserve">Valor Total das Taxas (VPA </t>
    </r>
    <r>
      <rPr>
        <b/>
        <vertAlign val="subscript"/>
        <sz val="11"/>
        <color theme="0"/>
        <rFont val="Arial"/>
        <family val="2"/>
      </rPr>
      <t>DRP</t>
    </r>
    <r>
      <rPr>
        <b/>
        <sz val="11"/>
        <color theme="0"/>
        <rFont val="Arial"/>
        <family val="2"/>
      </rPr>
      <t>)</t>
    </r>
  </si>
  <si>
    <r>
      <t>Janeiro a Dezembro/2018 foi aplicada a tarifa vigente de 01/06/2017 a 31/05/2018, mas que vigorou de 01/06/2017 a 31/03/2019, portanto se utiliza a TA</t>
    </r>
    <r>
      <rPr>
        <vertAlign val="subscript"/>
        <sz val="11"/>
        <color theme="1"/>
        <rFont val="Calibri"/>
        <family val="2"/>
        <scheme val="minor"/>
      </rPr>
      <t>DRA</t>
    </r>
    <r>
      <rPr>
        <sz val="11"/>
        <color theme="1"/>
        <rFont val="Calibri"/>
        <family val="2"/>
        <scheme val="minor"/>
      </rPr>
      <t xml:space="preserve"> de 2017</t>
    </r>
  </si>
  <si>
    <t>TFS</t>
  </si>
  <si>
    <t xml:space="preserve">TFU </t>
  </si>
  <si>
    <t>Valor dos Componentes Financeiros 2019 - DRP</t>
  </si>
  <si>
    <t>Valor dos Componentes Financeiros (Outros) 2019 - DRP</t>
  </si>
  <si>
    <r>
      <t>Mercado de Referência (m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 - jan a dez/2018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</si>
</sst>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#,##0.0000"/>
    <numFmt numFmtId="166" formatCode="0.0000%"/>
    <numFmt numFmtId="167" formatCode="_-* #,##0_-;\-* #,##0_-;_-* &quot;-&quot;??_-;_-@_-"/>
    <numFmt numFmtId="168" formatCode="_(* #,##0_);_(* \(#,##0\);_(* &quot;-&quot;??_);_(@_)"/>
    <numFmt numFmtId="169" formatCode="_(* #,##0.00_);_(* \(#,##0.00\);_(* &quot;-&quot;??_);_(@_)"/>
    <numFmt numFmtId="170" formatCode="0.0%"/>
    <numFmt numFmtId="171" formatCode="mmm\-yy"/>
    <numFmt numFmtId="172" formatCode="0.0000"/>
    <numFmt numFmtId="173" formatCode="_(&quot;R$ &quot;* #,##0.00_);_(&quot;R$ &quot;* \(#,##0.00\);_(&quot;R$ &quot;* &quot;-&quot;??_);_(@_)"/>
    <numFmt numFmtId="174" formatCode="_-* #,##0.0000_-;\-* #,##0.0000_-;_-* &quot;-&quot;??_-;_-@_-"/>
    <numFmt numFmtId="175" formatCode="#,##0.00;[Red]#,##0.00"/>
    <numFmt numFmtId="176" formatCode="#,##0.0000;[Red]#,##0.0000"/>
    <numFmt numFmtId="177" formatCode="_-* #,##0.0000_-;\-* #,##0.0000_-;_-* &quot;-&quot;????_-;_-@_-"/>
    <numFmt numFmtId="178" formatCode="mmmm/yyyy"/>
    <numFmt numFmtId="179" formatCode="0.000"/>
    <numFmt numFmtId="180" formatCode="[$-416]mmm\-yy;@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rgb="FFFF0000"/>
      <name val="Arial"/>
      <family val="2"/>
    </font>
    <font>
      <b/>
      <sz val="14"/>
      <color indexed="18"/>
      <name val="Arial"/>
      <family val="2"/>
    </font>
    <font>
      <sz val="11"/>
      <color indexed="9"/>
      <name val="Arial"/>
      <family val="2"/>
    </font>
    <font>
      <b/>
      <sz val="11"/>
      <color theme="0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vertAlign val="superscript"/>
      <sz val="11"/>
      <color indexed="9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b/>
      <sz val="10"/>
      <color indexed="10"/>
      <name val="Arial"/>
      <family val="2"/>
    </font>
    <font>
      <b/>
      <sz val="16"/>
      <color rgb="FFFF0000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14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9"/>
      <color indexed="18"/>
      <name val="Arial"/>
      <family val="2"/>
    </font>
    <font>
      <sz val="12"/>
      <color indexed="8"/>
      <name val="Arial"/>
      <family val="2"/>
    </font>
    <font>
      <sz val="9"/>
      <color indexed="23"/>
      <name val="Arial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vertAlign val="subscript"/>
      <sz val="11"/>
      <name val="Arial"/>
      <family val="2"/>
    </font>
    <font>
      <sz val="11"/>
      <color indexed="8"/>
      <name val="Calibri"/>
      <family val="2"/>
    </font>
    <font>
      <vertAlign val="subscript"/>
      <sz val="11"/>
      <color indexed="8"/>
      <name val="Arial"/>
      <family val="2"/>
    </font>
    <font>
      <sz val="11"/>
      <color indexed="10"/>
      <name val="Arial"/>
      <family val="2"/>
    </font>
    <font>
      <b/>
      <vertAlign val="superscript"/>
      <sz val="11"/>
      <name val="Arial"/>
      <family val="2"/>
    </font>
    <font>
      <b/>
      <vertAlign val="subscript"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indexed="8"/>
      <name val="Arial"/>
      <family val="2"/>
    </font>
    <font>
      <b/>
      <sz val="12"/>
      <name val="Calibri"/>
      <family val="2"/>
      <scheme val="minor"/>
    </font>
    <font>
      <vertAlign val="superscript"/>
      <sz val="11"/>
      <color theme="0"/>
      <name val="Arial"/>
      <family val="2"/>
    </font>
    <font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FFFFFF"/>
      <name val="Arial"/>
      <family val="2"/>
    </font>
    <font>
      <sz val="8"/>
      <color theme="1"/>
      <name val="Calibri"/>
      <family val="2"/>
      <scheme val="minor"/>
    </font>
    <font>
      <b/>
      <vertAlign val="subscript"/>
      <sz val="10"/>
      <name val="Arial"/>
      <family val="2"/>
    </font>
    <font>
      <b/>
      <sz val="9"/>
      <color rgb="FFFF0000"/>
      <name val="Arial"/>
      <family val="2"/>
    </font>
    <font>
      <sz val="10"/>
      <name val="Calibri"/>
      <family val="2"/>
      <scheme val="minor"/>
    </font>
    <font>
      <b/>
      <vertAlign val="subscript"/>
      <sz val="11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38"/>
      </patternFill>
    </fill>
    <fill>
      <patternFill patternType="solid">
        <fgColor rgb="FF002060"/>
        <bgColor indexed="38"/>
      </patternFill>
    </fill>
    <fill>
      <patternFill patternType="solid">
        <fgColor indexed="9"/>
        <bgColor indexed="38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776"/>
        <bgColor rgb="FF000000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55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 vertical="top"/>
    </xf>
    <xf numFmtId="0" fontId="4" fillId="0" borderId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38" fillId="0" borderId="0"/>
    <xf numFmtId="0" fontId="4" fillId="0" borderId="0"/>
    <xf numFmtId="169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54">
    <xf numFmtId="0" fontId="0" fillId="0" borderId="0" xfId="0"/>
    <xf numFmtId="0" fontId="6" fillId="0" borderId="0" xfId="0" applyFont="1"/>
    <xf numFmtId="0" fontId="8" fillId="3" borderId="1" xfId="0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 applyProtection="1">
      <alignment horizontal="right"/>
      <protection locked="0"/>
    </xf>
    <xf numFmtId="10" fontId="6" fillId="0" borderId="0" xfId="3" applyNumberFormat="1" applyFont="1"/>
    <xf numFmtId="166" fontId="13" fillId="2" borderId="1" xfId="3" applyNumberFormat="1" applyFont="1" applyFill="1" applyBorder="1" applyAlignment="1">
      <alignment horizontal="center" vertical="center"/>
    </xf>
    <xf numFmtId="166" fontId="6" fillId="0" borderId="0" xfId="0" applyNumberFormat="1" applyFont="1"/>
    <xf numFmtId="0" fontId="14" fillId="0" borderId="0" xfId="0" applyFont="1"/>
    <xf numFmtId="0" fontId="15" fillId="7" borderId="1" xfId="0" applyFont="1" applyFill="1" applyBorder="1" applyAlignment="1">
      <alignment horizontal="center" vertical="center"/>
    </xf>
    <xf numFmtId="17" fontId="15" fillId="7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17" fillId="5" borderId="1" xfId="0" applyNumberFormat="1" applyFont="1" applyFill="1" applyBorder="1"/>
    <xf numFmtId="3" fontId="18" fillId="7" borderId="1" xfId="0" applyNumberFormat="1" applyFont="1" applyFill="1" applyBorder="1" applyAlignment="1">
      <alignment vertical="center"/>
    </xf>
    <xf numFmtId="3" fontId="17" fillId="5" borderId="1" xfId="0" applyNumberFormat="1" applyFont="1" applyFill="1" applyBorder="1" applyAlignment="1">
      <alignment vertical="center"/>
    </xf>
    <xf numFmtId="3" fontId="19" fillId="5" borderId="1" xfId="0" applyNumberFormat="1" applyFont="1" applyFill="1" applyBorder="1"/>
    <xf numFmtId="3" fontId="20" fillId="8" borderId="1" xfId="0" applyNumberFormat="1" applyFont="1" applyFill="1" applyBorder="1" applyAlignment="1">
      <alignment vertical="center"/>
    </xf>
    <xf numFmtId="3" fontId="6" fillId="0" borderId="0" xfId="0" applyNumberFormat="1" applyFont="1"/>
    <xf numFmtId="0" fontId="6" fillId="9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7" fontId="15" fillId="7" borderId="4" xfId="0" applyNumberFormat="1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vertical="center"/>
    </xf>
    <xf numFmtId="3" fontId="22" fillId="2" borderId="4" xfId="0" applyNumberFormat="1" applyFont="1" applyFill="1" applyBorder="1" applyAlignment="1">
      <alignment vertical="center"/>
    </xf>
    <xf numFmtId="3" fontId="22" fillId="2" borderId="1" xfId="0" applyNumberFormat="1" applyFont="1" applyFill="1" applyBorder="1" applyAlignment="1">
      <alignment vertical="center"/>
    </xf>
    <xf numFmtId="0" fontId="16" fillId="0" borderId="0" xfId="0" applyFont="1" applyAlignment="1">
      <alignment horizontal="left"/>
    </xf>
    <xf numFmtId="4" fontId="16" fillId="0" borderId="0" xfId="0" applyNumberFormat="1" applyFont="1" applyAlignment="1">
      <alignment horizontal="left"/>
    </xf>
    <xf numFmtId="0" fontId="10" fillId="0" borderId="0" xfId="0" applyFont="1"/>
    <xf numFmtId="0" fontId="4" fillId="0" borderId="0" xfId="5"/>
    <xf numFmtId="0" fontId="5" fillId="0" borderId="0" xfId="5" applyFont="1"/>
    <xf numFmtId="0" fontId="4" fillId="0" borderId="0" xfId="5" applyAlignment="1">
      <alignment vertical="center"/>
    </xf>
    <xf numFmtId="0" fontId="4" fillId="11" borderId="0" xfId="5" applyFill="1" applyAlignment="1">
      <alignment vertical="center"/>
    </xf>
    <xf numFmtId="0" fontId="4" fillId="11" borderId="7" xfId="5" applyFill="1" applyBorder="1" applyAlignment="1">
      <alignment horizontal="left" vertical="center" wrapText="1"/>
    </xf>
    <xf numFmtId="167" fontId="25" fillId="4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11" borderId="7" xfId="5" applyFill="1" applyBorder="1" applyAlignment="1">
      <alignment vertical="center" wrapText="1"/>
    </xf>
    <xf numFmtId="168" fontId="4" fillId="0" borderId="0" xfId="5" applyNumberFormat="1"/>
    <xf numFmtId="0" fontId="25" fillId="4" borderId="8" xfId="5" applyFont="1" applyFill="1" applyBorder="1" applyAlignment="1" applyProtection="1">
      <alignment horizontal="center" vertical="center" wrapText="1"/>
      <protection locked="0"/>
    </xf>
    <xf numFmtId="0" fontId="4" fillId="12" borderId="9" xfId="5" applyFill="1" applyBorder="1" applyAlignment="1">
      <alignment vertical="center" wrapText="1"/>
    </xf>
    <xf numFmtId="0" fontId="4" fillId="11" borderId="8" xfId="5" applyFill="1" applyBorder="1" applyAlignment="1">
      <alignment vertical="center" wrapText="1"/>
    </xf>
    <xf numFmtId="0" fontId="4" fillId="11" borderId="9" xfId="5" applyFill="1" applyBorder="1" applyAlignment="1">
      <alignment vertical="center" wrapText="1"/>
    </xf>
    <xf numFmtId="0" fontId="24" fillId="11" borderId="9" xfId="5" applyFont="1" applyFill="1" applyBorder="1" applyAlignment="1">
      <alignment vertical="center" wrapText="1"/>
    </xf>
    <xf numFmtId="167" fontId="26" fillId="4" borderId="10" xfId="1" applyNumberFormat="1" applyFont="1" applyFill="1" applyBorder="1" applyAlignment="1" applyProtection="1">
      <alignment horizontal="center" vertical="center"/>
      <protection locked="0"/>
    </xf>
    <xf numFmtId="168" fontId="26" fillId="5" borderId="8" xfId="6" applyNumberFormat="1" applyFont="1" applyFill="1" applyBorder="1" applyAlignment="1">
      <alignment horizontal="center" vertical="center"/>
    </xf>
    <xf numFmtId="168" fontId="26" fillId="5" borderId="8" xfId="5" applyNumberFormat="1" applyFont="1" applyFill="1" applyBorder="1" applyAlignment="1">
      <alignment vertical="center" wrapText="1"/>
    </xf>
    <xf numFmtId="169" fontId="4" fillId="0" borderId="0" xfId="5" applyNumberFormat="1"/>
    <xf numFmtId="170" fontId="0" fillId="0" borderId="0" xfId="7" applyNumberFormat="1" applyFont="1"/>
    <xf numFmtId="0" fontId="28" fillId="0" borderId="0" xfId="5" applyFont="1"/>
    <xf numFmtId="0" fontId="29" fillId="3" borderId="11" xfId="0" applyFont="1" applyFill="1" applyBorder="1" applyAlignment="1">
      <alignment horizontal="center" vertical="center"/>
    </xf>
    <xf numFmtId="0" fontId="29" fillId="13" borderId="11" xfId="0" applyFont="1" applyFill="1" applyBorder="1" applyAlignment="1">
      <alignment horizontal="center" vertical="center"/>
    </xf>
    <xf numFmtId="17" fontId="31" fillId="0" borderId="11" xfId="0" applyNumberFormat="1" applyFont="1" applyBorder="1" applyAlignment="1">
      <alignment horizontal="center"/>
    </xf>
    <xf numFmtId="0" fontId="31" fillId="13" borderId="11" xfId="0" applyFont="1" applyFill="1" applyBorder="1" applyAlignment="1">
      <alignment horizontal="center"/>
    </xf>
    <xf numFmtId="167" fontId="31" fillId="13" borderId="11" xfId="1" applyNumberFormat="1" applyFont="1" applyFill="1" applyBorder="1" applyAlignment="1">
      <alignment horizontal="center"/>
    </xf>
    <xf numFmtId="167" fontId="31" fillId="5" borderId="11" xfId="1" applyNumberFormat="1" applyFont="1" applyFill="1" applyBorder="1" applyAlignment="1">
      <alignment horizontal="center"/>
    </xf>
    <xf numFmtId="0" fontId="31" fillId="0" borderId="12" xfId="0" applyFont="1" applyBorder="1"/>
    <xf numFmtId="167" fontId="31" fillId="5" borderId="13" xfId="1" applyNumberFormat="1" applyFont="1" applyFill="1" applyBorder="1" applyAlignment="1">
      <alignment horizontal="center"/>
    </xf>
    <xf numFmtId="0" fontId="31" fillId="0" borderId="14" xfId="0" applyFont="1" applyBorder="1"/>
    <xf numFmtId="9" fontId="31" fillId="5" borderId="15" xfId="0" applyNumberFormat="1" applyFont="1" applyFill="1" applyBorder="1" applyAlignment="1">
      <alignment horizontal="center"/>
    </xf>
    <xf numFmtId="167" fontId="31" fillId="5" borderId="15" xfId="1" applyNumberFormat="1" applyFont="1" applyFill="1" applyBorder="1" applyAlignment="1">
      <alignment horizontal="center"/>
    </xf>
    <xf numFmtId="0" fontId="31" fillId="0" borderId="16" xfId="0" applyFont="1" applyBorder="1"/>
    <xf numFmtId="2" fontId="31" fillId="5" borderId="17" xfId="0" applyNumberFormat="1" applyFont="1" applyFill="1" applyBorder="1" applyAlignment="1">
      <alignment horizontal="center"/>
    </xf>
    <xf numFmtId="43" fontId="29" fillId="5" borderId="17" xfId="1" applyFont="1" applyFill="1" applyBorder="1" applyAlignment="1">
      <alignment horizontal="center"/>
    </xf>
    <xf numFmtId="0" fontId="29" fillId="0" borderId="11" xfId="0" applyFont="1" applyBorder="1" applyAlignment="1">
      <alignment horizontal="left" vertical="center"/>
    </xf>
    <xf numFmtId="40" fontId="0" fillId="4" borderId="11" xfId="1" applyNumberFormat="1" applyFont="1" applyFill="1" applyBorder="1" applyAlignment="1" applyProtection="1">
      <alignment horizontal="center" vertical="center"/>
      <protection locked="0"/>
    </xf>
    <xf numFmtId="43" fontId="0" fillId="0" borderId="0" xfId="1" applyFont="1" applyAlignment="1">
      <alignment horizontal="left" vertical="center"/>
    </xf>
    <xf numFmtId="43" fontId="0" fillId="0" borderId="0" xfId="0" applyNumberFormat="1"/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/>
    </xf>
    <xf numFmtId="17" fontId="8" fillId="0" borderId="5" xfId="0" applyNumberFormat="1" applyFont="1" applyBorder="1" applyAlignment="1">
      <alignment horizontal="left" wrapText="1"/>
    </xf>
    <xf numFmtId="43" fontId="8" fillId="5" borderId="1" xfId="1" applyFont="1" applyFill="1" applyBorder="1" applyAlignment="1">
      <alignment horizontal="center" wrapText="1"/>
    </xf>
    <xf numFmtId="172" fontId="8" fillId="5" borderId="1" xfId="2" applyNumberFormat="1" applyFont="1" applyFill="1" applyBorder="1"/>
    <xf numFmtId="166" fontId="13" fillId="2" borderId="1" xfId="0" applyNumberFormat="1" applyFont="1" applyFill="1" applyBorder="1" applyAlignment="1">
      <alignment horizontal="center"/>
    </xf>
    <xf numFmtId="3" fontId="13" fillId="2" borderId="1" xfId="3" applyNumberFormat="1" applyFont="1" applyFill="1" applyBorder="1" applyAlignment="1">
      <alignment horizontal="right" vertical="center"/>
    </xf>
    <xf numFmtId="3" fontId="8" fillId="5" borderId="1" xfId="4" applyNumberFormat="1" applyFont="1" applyFill="1" applyBorder="1" applyAlignment="1">
      <alignment horizontal="right" vertical="center" wrapText="1"/>
    </xf>
    <xf numFmtId="0" fontId="4" fillId="0" borderId="0" xfId="4">
      <alignment vertical="top"/>
    </xf>
    <xf numFmtId="3" fontId="4" fillId="0" borderId="0" xfId="4" applyNumberFormat="1">
      <alignment vertical="top"/>
    </xf>
    <xf numFmtId="0" fontId="8" fillId="11" borderId="0" xfId="0" applyFont="1" applyFill="1" applyAlignment="1">
      <alignment vertical="top"/>
    </xf>
    <xf numFmtId="0" fontId="13" fillId="2" borderId="22" xfId="4" applyFont="1" applyFill="1" applyBorder="1" applyAlignment="1">
      <alignment horizontal="center" vertical="center" wrapText="1"/>
    </xf>
    <xf numFmtId="0" fontId="13" fillId="2" borderId="22" xfId="4" applyFont="1" applyFill="1" applyBorder="1" applyAlignment="1">
      <alignment horizontal="center"/>
    </xf>
    <xf numFmtId="0" fontId="33" fillId="0" borderId="0" xfId="0" applyFont="1"/>
    <xf numFmtId="0" fontId="33" fillId="0" borderId="0" xfId="0" applyFont="1" applyAlignment="1">
      <alignment vertical="center"/>
    </xf>
    <xf numFmtId="0" fontId="8" fillId="11" borderId="0" xfId="0" applyFont="1" applyFill="1" applyAlignment="1">
      <alignment vertical="center"/>
    </xf>
    <xf numFmtId="0" fontId="13" fillId="2" borderId="22" xfId="0" applyFont="1" applyFill="1" applyBorder="1" applyAlignment="1">
      <alignment horizontal="left" vertical="center" wrapText="1"/>
    </xf>
    <xf numFmtId="3" fontId="13" fillId="2" borderId="22" xfId="0" applyNumberFormat="1" applyFont="1" applyFill="1" applyBorder="1" applyAlignment="1">
      <alignment horizontal="right" vertical="center"/>
    </xf>
    <xf numFmtId="0" fontId="12" fillId="6" borderId="0" xfId="0" applyFont="1" applyFill="1" applyAlignment="1">
      <alignment horizontal="left" vertical="center" wrapText="1"/>
    </xf>
    <xf numFmtId="0" fontId="12" fillId="6" borderId="0" xfId="0" applyFont="1" applyFill="1" applyAlignment="1">
      <alignment horizontal="center" vertical="center"/>
    </xf>
    <xf numFmtId="0" fontId="8" fillId="0" borderId="0" xfId="0" applyFont="1" applyAlignment="1">
      <alignment vertical="top"/>
    </xf>
    <xf numFmtId="0" fontId="34" fillId="11" borderId="0" xfId="0" applyFont="1" applyFill="1" applyAlignment="1">
      <alignment vertical="top"/>
    </xf>
    <xf numFmtId="4" fontId="8" fillId="0" borderId="0" xfId="0" applyNumberFormat="1" applyFont="1" applyAlignment="1">
      <alignment vertical="top"/>
    </xf>
    <xf numFmtId="10" fontId="13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0" fontId="13" fillId="2" borderId="1" xfId="3" applyNumberFormat="1" applyFont="1" applyFill="1" applyBorder="1" applyAlignment="1">
      <alignment horizontal="center" vertical="center"/>
    </xf>
    <xf numFmtId="0" fontId="6" fillId="6" borderId="0" xfId="9" applyFont="1" applyFill="1"/>
    <xf numFmtId="0" fontId="13" fillId="2" borderId="22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17" fontId="8" fillId="0" borderId="27" xfId="0" applyNumberFormat="1" applyFont="1" applyBorder="1" applyAlignment="1">
      <alignment horizontal="left"/>
    </xf>
    <xf numFmtId="49" fontId="8" fillId="4" borderId="22" xfId="2" applyNumberFormat="1" applyFont="1" applyFill="1" applyBorder="1" applyAlignment="1">
      <alignment horizontal="right"/>
    </xf>
    <xf numFmtId="0" fontId="6" fillId="6" borderId="0" xfId="0" applyFont="1" applyFill="1"/>
    <xf numFmtId="17" fontId="8" fillId="0" borderId="27" xfId="0" applyNumberFormat="1" applyFont="1" applyBorder="1" applyAlignment="1">
      <alignment horizontal="center"/>
    </xf>
    <xf numFmtId="165" fontId="8" fillId="5" borderId="22" xfId="2" applyNumberFormat="1" applyFont="1" applyFill="1" applyBorder="1" applyAlignment="1">
      <alignment horizontal="right"/>
    </xf>
    <xf numFmtId="17" fontId="8" fillId="0" borderId="22" xfId="0" applyNumberFormat="1" applyFont="1" applyBorder="1" applyAlignment="1">
      <alignment horizontal="left"/>
    </xf>
    <xf numFmtId="17" fontId="8" fillId="0" borderId="24" xfId="0" applyNumberFormat="1" applyFont="1" applyBorder="1" applyAlignment="1">
      <alignment horizontal="left"/>
    </xf>
    <xf numFmtId="10" fontId="13" fillId="2" borderId="22" xfId="3" applyNumberFormat="1" applyFont="1" applyFill="1" applyBorder="1" applyAlignment="1">
      <alignment horizontal="right" vertical="center"/>
    </xf>
    <xf numFmtId="0" fontId="6" fillId="6" borderId="0" xfId="9" applyFont="1" applyFill="1" applyAlignment="1">
      <alignment horizontal="center" vertical="center"/>
    </xf>
    <xf numFmtId="0" fontId="11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40" fillId="0" borderId="0" xfId="0" applyFont="1"/>
    <xf numFmtId="2" fontId="6" fillId="5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10" fontId="13" fillId="2" borderId="4" xfId="0" applyNumberFormat="1" applyFont="1" applyFill="1" applyBorder="1" applyAlignment="1">
      <alignment horizontal="right" vertical="center"/>
    </xf>
    <xf numFmtId="43" fontId="6" fillId="0" borderId="0" xfId="1" applyFont="1"/>
    <xf numFmtId="2" fontId="6" fillId="0" borderId="0" xfId="0" applyNumberFormat="1" applyFont="1"/>
    <xf numFmtId="0" fontId="0" fillId="0" borderId="0" xfId="0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3" fontId="0" fillId="0" borderId="11" xfId="1" applyFont="1" applyBorder="1"/>
    <xf numFmtId="4" fontId="3" fillId="0" borderId="11" xfId="0" applyNumberFormat="1" applyFont="1" applyBorder="1"/>
    <xf numFmtId="4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74" fontId="3" fillId="3" borderId="11" xfId="1" applyNumberFormat="1" applyFont="1" applyFill="1" applyBorder="1"/>
    <xf numFmtId="43" fontId="3" fillId="13" borderId="11" xfId="0" applyNumberFormat="1" applyFont="1" applyFill="1" applyBorder="1"/>
    <xf numFmtId="0" fontId="3" fillId="0" borderId="11" xfId="0" applyFont="1" applyBorder="1"/>
    <xf numFmtId="4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/>
    <xf numFmtId="3" fontId="0" fillId="15" borderId="11" xfId="0" applyNumberFormat="1" applyFill="1" applyBorder="1"/>
    <xf numFmtId="4" fontId="0" fillId="3" borderId="11" xfId="0" applyNumberFormat="1" applyFill="1" applyBorder="1" applyAlignment="1">
      <alignment horizontal="center"/>
    </xf>
    <xf numFmtId="3" fontId="0" fillId="0" borderId="11" xfId="0" applyNumberFormat="1" applyBorder="1"/>
    <xf numFmtId="0" fontId="0" fillId="0" borderId="11" xfId="0" applyBorder="1"/>
    <xf numFmtId="3" fontId="0" fillId="0" borderId="11" xfId="0" applyNumberFormat="1" applyBorder="1" applyAlignment="1">
      <alignment horizontal="left"/>
    </xf>
    <xf numFmtId="3" fontId="0" fillId="15" borderId="11" xfId="0" applyNumberFormat="1" applyFill="1" applyBorder="1" applyAlignment="1">
      <alignment horizontal="center"/>
    </xf>
    <xf numFmtId="3" fontId="0" fillId="16" borderId="11" xfId="0" applyNumberFormat="1" applyFill="1" applyBorder="1"/>
    <xf numFmtId="3" fontId="0" fillId="16" borderId="11" xfId="0" applyNumberFormat="1" applyFill="1" applyBorder="1" applyAlignment="1">
      <alignment horizontal="center"/>
    </xf>
    <xf numFmtId="3" fontId="43" fillId="8" borderId="1" xfId="0" applyNumberFormat="1" applyFont="1" applyFill="1" applyBorder="1" applyAlignment="1">
      <alignment vertical="center"/>
    </xf>
    <xf numFmtId="3" fontId="19" fillId="5" borderId="1" xfId="0" applyNumberFormat="1" applyFont="1" applyFill="1" applyBorder="1" applyAlignment="1">
      <alignment horizontal="right"/>
    </xf>
    <xf numFmtId="3" fontId="8" fillId="4" borderId="1" xfId="2" applyNumberFormat="1" applyFont="1" applyFill="1" applyBorder="1" applyAlignment="1" applyProtection="1">
      <alignment horizontal="right"/>
      <protection locked="0"/>
    </xf>
    <xf numFmtId="0" fontId="44" fillId="0" borderId="0" xfId="0" applyFont="1"/>
    <xf numFmtId="0" fontId="45" fillId="0" borderId="0" xfId="5" applyFont="1"/>
    <xf numFmtId="17" fontId="8" fillId="0" borderId="22" xfId="0" applyNumberFormat="1" applyFont="1" applyBorder="1" applyAlignment="1">
      <alignment horizontal="center"/>
    </xf>
    <xf numFmtId="165" fontId="8" fillId="5" borderId="22" xfId="2" applyNumberFormat="1" applyFont="1" applyFill="1" applyBorder="1"/>
    <xf numFmtId="43" fontId="46" fillId="0" borderId="11" xfId="1" applyFont="1" applyBorder="1"/>
    <xf numFmtId="4" fontId="47" fillId="0" borderId="11" xfId="0" applyNumberFormat="1" applyFont="1" applyBorder="1" applyAlignment="1">
      <alignment horizontal="right"/>
    </xf>
    <xf numFmtId="3" fontId="46" fillId="0" borderId="11" xfId="0" applyNumberFormat="1" applyFont="1" applyBorder="1" applyAlignment="1">
      <alignment horizontal="right"/>
    </xf>
    <xf numFmtId="176" fontId="47" fillId="0" borderId="11" xfId="0" applyNumberFormat="1" applyFont="1" applyBorder="1" applyAlignment="1">
      <alignment horizontal="right"/>
    </xf>
    <xf numFmtId="175" fontId="46" fillId="0" borderId="11" xfId="0" applyNumberFormat="1" applyFont="1" applyBorder="1" applyAlignment="1">
      <alignment horizontal="right"/>
    </xf>
    <xf numFmtId="4" fontId="46" fillId="15" borderId="11" xfId="0" applyNumberFormat="1" applyFont="1" applyFill="1" applyBorder="1" applyAlignment="1">
      <alignment horizontal="right"/>
    </xf>
    <xf numFmtId="4" fontId="47" fillId="15" borderId="11" xfId="0" applyNumberFormat="1" applyFont="1" applyFill="1" applyBorder="1" applyAlignment="1">
      <alignment horizontal="right"/>
    </xf>
    <xf numFmtId="4" fontId="46" fillId="16" borderId="11" xfId="0" applyNumberFormat="1" applyFont="1" applyFill="1" applyBorder="1" applyAlignment="1">
      <alignment horizontal="right"/>
    </xf>
    <xf numFmtId="4" fontId="47" fillId="16" borderId="11" xfId="0" applyNumberFormat="1" applyFont="1" applyFill="1" applyBorder="1" applyAlignment="1">
      <alignment horizontal="right"/>
    </xf>
    <xf numFmtId="4" fontId="47" fillId="13" borderId="11" xfId="0" applyNumberFormat="1" applyFont="1" applyFill="1" applyBorder="1"/>
    <xf numFmtId="174" fontId="47" fillId="13" borderId="11" xfId="1" applyNumberFormat="1" applyFont="1" applyFill="1" applyBorder="1"/>
    <xf numFmtId="165" fontId="15" fillId="3" borderId="26" xfId="0" applyNumberFormat="1" applyFont="1" applyFill="1" applyBorder="1" applyAlignment="1">
      <alignment vertical="center"/>
    </xf>
    <xf numFmtId="4" fontId="8" fillId="11" borderId="0" xfId="0" applyNumberFormat="1" applyFont="1" applyFill="1" applyAlignment="1">
      <alignment vertical="top"/>
    </xf>
    <xf numFmtId="43" fontId="8" fillId="11" borderId="0" xfId="1" applyFont="1" applyFill="1" applyAlignment="1">
      <alignment vertical="top"/>
    </xf>
    <xf numFmtId="43" fontId="8" fillId="11" borderId="0" xfId="0" applyNumberFormat="1" applyFont="1" applyFill="1" applyAlignment="1">
      <alignment vertical="top"/>
    </xf>
    <xf numFmtId="171" fontId="6" fillId="0" borderId="19" xfId="0" applyNumberFormat="1" applyFont="1" applyBorder="1" applyAlignment="1">
      <alignment horizontal="center" wrapText="1"/>
    </xf>
    <xf numFmtId="0" fontId="32" fillId="0" borderId="0" xfId="0" applyFont="1"/>
    <xf numFmtId="3" fontId="8" fillId="5" borderId="1" xfId="2" applyNumberFormat="1" applyFont="1" applyFill="1" applyBorder="1" applyAlignment="1">
      <alignment horizontal="right"/>
    </xf>
    <xf numFmtId="167" fontId="48" fillId="4" borderId="11" xfId="1" applyNumberFormat="1" applyFont="1" applyFill="1" applyBorder="1" applyAlignment="1" applyProtection="1">
      <alignment horizontal="center"/>
      <protection locked="0"/>
    </xf>
    <xf numFmtId="177" fontId="0" fillId="0" borderId="0" xfId="0" applyNumberFormat="1"/>
    <xf numFmtId="0" fontId="0" fillId="0" borderId="0" xfId="0" applyAlignment="1">
      <alignment horizontal="left"/>
    </xf>
    <xf numFmtId="178" fontId="8" fillId="6" borderId="1" xfId="0" applyNumberFormat="1" applyFont="1" applyFill="1" applyBorder="1" applyAlignment="1">
      <alignment horizontal="left" wrapText="1"/>
    </xf>
    <xf numFmtId="0" fontId="51" fillId="0" borderId="0" xfId="15"/>
    <xf numFmtId="167" fontId="31" fillId="5" borderId="6" xfId="1" applyNumberFormat="1" applyFont="1" applyFill="1" applyBorder="1" applyAlignment="1">
      <alignment horizontal="center"/>
    </xf>
    <xf numFmtId="9" fontId="31" fillId="5" borderId="9" xfId="0" applyNumberFormat="1" applyFont="1" applyFill="1" applyBorder="1" applyAlignment="1">
      <alignment horizontal="center"/>
    </xf>
    <xf numFmtId="167" fontId="31" fillId="5" borderId="9" xfId="1" applyNumberFormat="1" applyFont="1" applyFill="1" applyBorder="1" applyAlignment="1">
      <alignment horizontal="center"/>
    </xf>
    <xf numFmtId="2" fontId="31" fillId="5" borderId="8" xfId="0" applyNumberFormat="1" applyFont="1" applyFill="1" applyBorder="1" applyAlignment="1">
      <alignment horizontal="center"/>
    </xf>
    <xf numFmtId="43" fontId="29" fillId="5" borderId="8" xfId="1" applyFont="1" applyFill="1" applyBorder="1" applyAlignment="1">
      <alignment horizontal="center"/>
    </xf>
    <xf numFmtId="0" fontId="29" fillId="17" borderId="11" xfId="0" applyFont="1" applyFill="1" applyBorder="1" applyAlignment="1">
      <alignment horizontal="center"/>
    </xf>
    <xf numFmtId="43" fontId="3" fillId="17" borderId="11" xfId="0" applyNumberFormat="1" applyFont="1" applyFill="1" applyBorder="1" applyAlignment="1">
      <alignment horizontal="center"/>
    </xf>
    <xf numFmtId="0" fontId="53" fillId="6" borderId="0" xfId="9" applyFont="1" applyFill="1" applyAlignment="1">
      <alignment horizontal="left" vertical="center"/>
    </xf>
    <xf numFmtId="3" fontId="46" fillId="4" borderId="1" xfId="2" applyNumberFormat="1" applyFont="1" applyFill="1" applyBorder="1" applyAlignment="1" applyProtection="1">
      <alignment horizontal="right"/>
      <protection locked="0"/>
    </xf>
    <xf numFmtId="3" fontId="54" fillId="4" borderId="1" xfId="2" applyNumberFormat="1" applyFont="1" applyFill="1" applyBorder="1" applyAlignment="1" applyProtection="1">
      <alignment horizontal="right"/>
      <protection locked="0"/>
    </xf>
    <xf numFmtId="17" fontId="8" fillId="0" borderId="22" xfId="4" applyNumberFormat="1" applyFont="1" applyBorder="1" applyAlignment="1">
      <alignment horizontal="left" vertical="center"/>
    </xf>
    <xf numFmtId="170" fontId="8" fillId="5" borderId="22" xfId="8" applyNumberFormat="1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17" fontId="8" fillId="0" borderId="27" xfId="0" applyNumberFormat="1" applyFont="1" applyBorder="1" applyAlignment="1">
      <alignment horizontal="left" vertical="center"/>
    </xf>
    <xf numFmtId="17" fontId="8" fillId="0" borderId="27" xfId="0" applyNumberFormat="1" applyFont="1" applyBorder="1" applyAlignment="1">
      <alignment horizontal="center" vertical="center"/>
    </xf>
    <xf numFmtId="4" fontId="8" fillId="5" borderId="22" xfId="2" applyNumberFormat="1" applyFont="1" applyFill="1" applyBorder="1" applyAlignment="1">
      <alignment horizontal="right" vertical="center"/>
    </xf>
    <xf numFmtId="17" fontId="8" fillId="11" borderId="22" xfId="0" applyNumberFormat="1" applyFont="1" applyFill="1" applyBorder="1" applyAlignment="1">
      <alignment horizontal="left" vertical="center"/>
    </xf>
    <xf numFmtId="17" fontId="8" fillId="11" borderId="22" xfId="0" applyNumberFormat="1" applyFont="1" applyFill="1" applyBorder="1" applyAlignment="1">
      <alignment horizontal="center" vertical="center"/>
    </xf>
    <xf numFmtId="4" fontId="8" fillId="5" borderId="22" xfId="2" applyNumberFormat="1" applyFont="1" applyFill="1" applyBorder="1" applyAlignment="1">
      <alignment vertical="center"/>
    </xf>
    <xf numFmtId="3" fontId="8" fillId="5" borderId="22" xfId="2" applyNumberFormat="1" applyFont="1" applyFill="1" applyBorder="1" applyAlignment="1">
      <alignment vertical="center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vertical="top"/>
    </xf>
    <xf numFmtId="17" fontId="8" fillId="0" borderId="5" xfId="0" applyNumberFormat="1" applyFont="1" applyBorder="1" applyAlignment="1">
      <alignment horizontal="left" vertical="center" wrapText="1"/>
    </xf>
    <xf numFmtId="172" fontId="8" fillId="5" borderId="1" xfId="0" applyNumberFormat="1" applyFont="1" applyFill="1" applyBorder="1" applyAlignment="1">
      <alignment horizontal="center" vertical="center" wrapText="1"/>
    </xf>
    <xf numFmtId="10" fontId="8" fillId="5" borderId="1" xfId="0" applyNumberFormat="1" applyFont="1" applyFill="1" applyBorder="1" applyAlignment="1">
      <alignment horizontal="center" vertical="center" wrapText="1"/>
    </xf>
    <xf numFmtId="3" fontId="8" fillId="5" borderId="1" xfId="8" applyNumberFormat="1" applyFont="1" applyFill="1" applyBorder="1" applyAlignment="1">
      <alignment horizontal="right" vertical="center"/>
    </xf>
    <xf numFmtId="166" fontId="8" fillId="5" borderId="1" xfId="8" applyNumberFormat="1" applyFont="1" applyFill="1" applyBorder="1" applyAlignment="1">
      <alignment vertical="center"/>
    </xf>
    <xf numFmtId="166" fontId="8" fillId="5" borderId="1" xfId="0" applyNumberFormat="1" applyFont="1" applyFill="1" applyBorder="1" applyAlignment="1">
      <alignment horizontal="center" vertical="center" wrapText="1"/>
    </xf>
    <xf numFmtId="166" fontId="8" fillId="5" borderId="1" xfId="2" applyNumberFormat="1" applyFont="1" applyFill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166" fontId="6" fillId="5" borderId="1" xfId="0" applyNumberFormat="1" applyFont="1" applyFill="1" applyBorder="1" applyAlignment="1">
      <alignment horizontal="center" vertical="center" wrapText="1"/>
    </xf>
    <xf numFmtId="4" fontId="6" fillId="5" borderId="5" xfId="0" applyNumberFormat="1" applyFont="1" applyFill="1" applyBorder="1" applyAlignment="1">
      <alignment horizontal="center" vertical="center" wrapText="1"/>
    </xf>
    <xf numFmtId="166" fontId="8" fillId="5" borderId="23" xfId="3" applyNumberFormat="1" applyFont="1" applyFill="1" applyBorder="1" applyAlignment="1">
      <alignment horizontal="right" vertical="center" wrapText="1"/>
    </xf>
    <xf numFmtId="10" fontId="8" fillId="5" borderId="23" xfId="3" applyNumberFormat="1" applyFont="1" applyFill="1" applyBorder="1" applyAlignment="1">
      <alignment horizontal="center" vertical="center" wrapText="1"/>
    </xf>
    <xf numFmtId="0" fontId="51" fillId="6" borderId="0" xfId="15" applyFill="1" applyAlignment="1">
      <alignment horizontal="left" vertical="center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167" fontId="8" fillId="5" borderId="1" xfId="1" applyNumberFormat="1" applyFont="1" applyFill="1" applyBorder="1" applyAlignment="1">
      <alignment horizontal="center" wrapText="1"/>
    </xf>
    <xf numFmtId="179" fontId="33" fillId="0" borderId="0" xfId="0" applyNumberFormat="1" applyFont="1"/>
    <xf numFmtId="17" fontId="4" fillId="0" borderId="33" xfId="13" applyNumberFormat="1" applyBorder="1" applyAlignment="1">
      <alignment horizontal="center"/>
    </xf>
    <xf numFmtId="4" fontId="8" fillId="0" borderId="22" xfId="2" applyNumberFormat="1" applyFont="1" applyBorder="1"/>
    <xf numFmtId="178" fontId="4" fillId="6" borderId="1" xfId="0" applyNumberFormat="1" applyFont="1" applyFill="1" applyBorder="1" applyAlignment="1">
      <alignment horizontal="left" wrapText="1"/>
    </xf>
    <xf numFmtId="165" fontId="4" fillId="4" borderId="1" xfId="2" applyNumberFormat="1" applyFont="1" applyFill="1" applyBorder="1" applyAlignment="1" applyProtection="1">
      <alignment horizontal="right"/>
      <protection locked="0"/>
    </xf>
    <xf numFmtId="180" fontId="58" fillId="19" borderId="0" xfId="4" applyNumberFormat="1" applyFont="1" applyFill="1" applyAlignment="1">
      <alignment vertical="center"/>
    </xf>
    <xf numFmtId="10" fontId="15" fillId="0" borderId="22" xfId="3" applyNumberFormat="1" applyFont="1" applyBorder="1"/>
    <xf numFmtId="0" fontId="59" fillId="0" borderId="0" xfId="0" applyFont="1"/>
    <xf numFmtId="17" fontId="8" fillId="0" borderId="0" xfId="0" applyNumberFormat="1" applyFont="1" applyAlignment="1">
      <alignment horizontal="center"/>
    </xf>
    <xf numFmtId="3" fontId="8" fillId="0" borderId="0" xfId="2" applyNumberFormat="1" applyFont="1"/>
    <xf numFmtId="17" fontId="5" fillId="0" borderId="33" xfId="13" applyNumberFormat="1" applyFont="1" applyBorder="1" applyAlignment="1">
      <alignment horizontal="center"/>
    </xf>
    <xf numFmtId="4" fontId="15" fillId="0" borderId="22" xfId="2" applyNumberFormat="1" applyFont="1" applyBorder="1"/>
    <xf numFmtId="17" fontId="4" fillId="0" borderId="33" xfId="13" applyNumberFormat="1" applyBorder="1" applyAlignment="1">
      <alignment horizontal="left"/>
    </xf>
    <xf numFmtId="43" fontId="15" fillId="0" borderId="22" xfId="1" applyFont="1" applyBorder="1"/>
    <xf numFmtId="0" fontId="13" fillId="2" borderId="2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/>
    </xf>
    <xf numFmtId="180" fontId="58" fillId="19" borderId="0" xfId="4" applyNumberFormat="1" applyFont="1" applyFill="1" applyAlignment="1">
      <alignment horizontal="center" vertical="center"/>
    </xf>
    <xf numFmtId="0" fontId="13" fillId="2" borderId="5" xfId="0" applyFont="1" applyFill="1" applyBorder="1" applyAlignment="1">
      <alignment horizontal="right" vertical="center" wrapText="1"/>
    </xf>
    <xf numFmtId="0" fontId="24" fillId="11" borderId="6" xfId="5" applyFont="1" applyFill="1" applyBorder="1" applyAlignment="1">
      <alignment horizontal="center" vertical="center" wrapText="1"/>
    </xf>
    <xf numFmtId="0" fontId="4" fillId="11" borderId="6" xfId="5" applyFill="1" applyBorder="1" applyAlignment="1">
      <alignment horizontal="center" vertical="center" wrapText="1"/>
    </xf>
    <xf numFmtId="168" fontId="26" fillId="5" borderId="8" xfId="5" applyNumberFormat="1" applyFont="1" applyFill="1" applyBorder="1" applyAlignment="1">
      <alignment horizontal="center" vertical="center" wrapText="1"/>
    </xf>
    <xf numFmtId="168" fontId="26" fillId="5" borderId="8" xfId="5" applyNumberFormat="1" applyFont="1" applyFill="1" applyBorder="1" applyAlignment="1">
      <alignment horizontal="center" vertical="center"/>
    </xf>
    <xf numFmtId="3" fontId="61" fillId="18" borderId="1" xfId="2" applyNumberFormat="1" applyFont="1" applyFill="1" applyBorder="1" applyAlignment="1" applyProtection="1">
      <alignment horizontal="right"/>
      <protection locked="0"/>
    </xf>
    <xf numFmtId="3" fontId="19" fillId="10" borderId="1" xfId="2" applyNumberFormat="1" applyFont="1" applyFill="1" applyBorder="1" applyAlignment="1" applyProtection="1">
      <alignment horizontal="right"/>
      <protection locked="0"/>
    </xf>
    <xf numFmtId="3" fontId="18" fillId="7" borderId="5" xfId="0" applyNumberFormat="1" applyFont="1" applyFill="1" applyBorder="1" applyAlignment="1">
      <alignment vertical="center"/>
    </xf>
    <xf numFmtId="3" fontId="61" fillId="0" borderId="0" xfId="2" applyNumberFormat="1" applyFont="1" applyAlignment="1" applyProtection="1">
      <alignment horizontal="right"/>
      <protection locked="0"/>
    </xf>
    <xf numFmtId="3" fontId="61" fillId="0" borderId="0" xfId="2" applyNumberFormat="1" applyFont="1" applyAlignment="1" applyProtection="1">
      <alignment horizontal="center"/>
      <protection locked="0"/>
    </xf>
    <xf numFmtId="3" fontId="61" fillId="18" borderId="5" xfId="2" applyNumberFormat="1" applyFont="1" applyFill="1" applyBorder="1" applyAlignment="1" applyProtection="1">
      <alignment horizontal="right"/>
      <protection locked="0"/>
    </xf>
    <xf numFmtId="17" fontId="15" fillId="7" borderId="19" xfId="0" applyNumberFormat="1" applyFont="1" applyFill="1" applyBorder="1" applyAlignment="1">
      <alignment horizontal="center" vertical="center" wrapText="1"/>
    </xf>
    <xf numFmtId="3" fontId="19" fillId="5" borderId="42" xfId="0" applyNumberFormat="1" applyFont="1" applyFill="1" applyBorder="1"/>
    <xf numFmtId="3" fontId="17" fillId="5" borderId="11" xfId="0" applyNumberFormat="1" applyFont="1" applyFill="1" applyBorder="1"/>
    <xf numFmtId="3" fontId="18" fillId="7" borderId="11" xfId="0" applyNumberFormat="1" applyFont="1" applyFill="1" applyBorder="1" applyAlignment="1">
      <alignment vertical="center"/>
    </xf>
    <xf numFmtId="3" fontId="17" fillId="5" borderId="11" xfId="0" applyNumberFormat="1" applyFont="1" applyFill="1" applyBorder="1" applyAlignment="1">
      <alignment vertical="center"/>
    </xf>
    <xf numFmtId="167" fontId="54" fillId="4" borderId="1" xfId="1" applyNumberFormat="1" applyFont="1" applyFill="1" applyBorder="1" applyAlignment="1" applyProtection="1">
      <alignment horizontal="right"/>
      <protection locked="0"/>
    </xf>
    <xf numFmtId="0" fontId="57" fillId="0" borderId="0" xfId="0" applyFont="1"/>
    <xf numFmtId="0" fontId="44" fillId="0" borderId="0" xfId="15" applyFont="1"/>
    <xf numFmtId="10" fontId="6" fillId="6" borderId="0" xfId="3" applyNumberFormat="1" applyFont="1" applyFill="1"/>
    <xf numFmtId="174" fontId="3" fillId="13" borderId="11" xfId="0" applyNumberFormat="1" applyFont="1" applyFill="1" applyBorder="1"/>
    <xf numFmtId="167" fontId="3" fillId="13" borderId="11" xfId="0" applyNumberFormat="1" applyFont="1" applyFill="1" applyBorder="1"/>
    <xf numFmtId="167" fontId="46" fillId="0" borderId="11" xfId="1" applyNumberFormat="1" applyFont="1" applyBorder="1"/>
    <xf numFmtId="43" fontId="3" fillId="13" borderId="11" xfId="1" applyFont="1" applyFill="1" applyBorder="1"/>
    <xf numFmtId="167" fontId="3" fillId="13" borderId="11" xfId="1" applyNumberFormat="1" applyFont="1" applyFill="1" applyBorder="1"/>
    <xf numFmtId="0" fontId="6" fillId="20" borderId="43" xfId="0" applyFont="1" applyFill="1" applyBorder="1"/>
    <xf numFmtId="0" fontId="6" fillId="20" borderId="44" xfId="0" applyFont="1" applyFill="1" applyBorder="1"/>
    <xf numFmtId="0" fontId="6" fillId="20" borderId="45" xfId="0" applyFont="1" applyFill="1" applyBorder="1"/>
    <xf numFmtId="0" fontId="6" fillId="20" borderId="46" xfId="0" applyFont="1" applyFill="1" applyBorder="1"/>
    <xf numFmtId="0" fontId="6" fillId="20" borderId="48" xfId="0" applyFont="1" applyFill="1" applyBorder="1"/>
    <xf numFmtId="0" fontId="6" fillId="20" borderId="47" xfId="0" applyFont="1" applyFill="1" applyBorder="1"/>
    <xf numFmtId="0" fontId="6" fillId="20" borderId="50" xfId="0" applyFont="1" applyFill="1" applyBorder="1"/>
    <xf numFmtId="0" fontId="6" fillId="20" borderId="0" xfId="0" applyFont="1" applyFill="1"/>
    <xf numFmtId="0" fontId="6" fillId="20" borderId="49" xfId="0" applyFont="1" applyFill="1" applyBorder="1"/>
    <xf numFmtId="166" fontId="6" fillId="0" borderId="0" xfId="3" applyNumberFormat="1" applyFont="1"/>
    <xf numFmtId="0" fontId="22" fillId="0" borderId="0" xfId="0" applyFont="1"/>
    <xf numFmtId="10" fontId="6" fillId="0" borderId="0" xfId="0" applyNumberFormat="1" applyFont="1"/>
    <xf numFmtId="0" fontId="16" fillId="0" borderId="0" xfId="0" applyFont="1"/>
    <xf numFmtId="166" fontId="16" fillId="0" borderId="0" xfId="3" applyNumberFormat="1" applyFont="1"/>
    <xf numFmtId="0" fontId="11" fillId="11" borderId="0" xfId="0" applyFont="1" applyFill="1" applyAlignment="1">
      <alignment horizontal="center" vertical="top"/>
    </xf>
    <xf numFmtId="0" fontId="13" fillId="2" borderId="5" xfId="0" applyFont="1" applyFill="1" applyBorder="1" applyAlignment="1">
      <alignment horizontal="right" vertical="center" wrapText="1"/>
    </xf>
    <xf numFmtId="0" fontId="13" fillId="2" borderId="21" xfId="0" applyFont="1" applyFill="1" applyBorder="1" applyAlignment="1">
      <alignment horizontal="right" vertical="center" wrapText="1"/>
    </xf>
    <xf numFmtId="0" fontId="13" fillId="2" borderId="4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7" fillId="2" borderId="32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22" fillId="2" borderId="3" xfId="0" applyFont="1" applyFill="1" applyBorder="1"/>
    <xf numFmtId="0" fontId="15" fillId="7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3" fontId="8" fillId="5" borderId="5" xfId="2" applyNumberFormat="1" applyFont="1" applyFill="1" applyBorder="1" applyAlignment="1">
      <alignment horizontal="center"/>
    </xf>
    <xf numFmtId="3" fontId="8" fillId="5" borderId="4" xfId="2" applyNumberFormat="1" applyFont="1" applyFill="1" applyBorder="1" applyAlignment="1">
      <alignment horizontal="center"/>
    </xf>
    <xf numFmtId="3" fontId="6" fillId="0" borderId="5" xfId="2" applyNumberFormat="1" applyFont="1" applyBorder="1" applyAlignment="1">
      <alignment horizontal="center"/>
    </xf>
    <xf numFmtId="3" fontId="6" fillId="0" borderId="4" xfId="2" applyNumberFormat="1" applyFont="1" applyBorder="1" applyAlignment="1">
      <alignment horizontal="center"/>
    </xf>
    <xf numFmtId="3" fontId="13" fillId="2" borderId="5" xfId="0" applyNumberFormat="1" applyFont="1" applyFill="1" applyBorder="1" applyAlignment="1">
      <alignment horizontal="center" vertical="center"/>
    </xf>
    <xf numFmtId="3" fontId="13" fillId="2" borderId="4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7" fillId="8" borderId="1" xfId="0" applyFont="1" applyFill="1" applyBorder="1" applyAlignment="1">
      <alignment horizontal="left" vertical="center"/>
    </xf>
    <xf numFmtId="0" fontId="16" fillId="2" borderId="0" xfId="0" applyFont="1" applyFill="1"/>
    <xf numFmtId="0" fontId="16" fillId="9" borderId="1" xfId="0" applyFont="1" applyFill="1" applyBorder="1" applyAlignment="1">
      <alignment horizontal="center" vertical="center"/>
    </xf>
    <xf numFmtId="0" fontId="52" fillId="2" borderId="7" xfId="0" applyFont="1" applyFill="1" applyBorder="1" applyAlignment="1">
      <alignment horizontal="center" vertical="center"/>
    </xf>
    <xf numFmtId="0" fontId="52" fillId="2" borderId="28" xfId="0" applyFont="1" applyFill="1" applyBorder="1" applyAlignment="1">
      <alignment horizontal="center" vertical="center"/>
    </xf>
    <xf numFmtId="0" fontId="52" fillId="2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50" fillId="0" borderId="0" xfId="0" applyFont="1" applyAlignment="1">
      <alignment horizontal="center" vertical="top"/>
    </xf>
    <xf numFmtId="0" fontId="15" fillId="3" borderId="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21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5" fillId="3" borderId="5" xfId="0" applyFont="1" applyFill="1" applyBorder="1" applyAlignment="1">
      <alignment horizontal="center" vertical="center" wrapText="1"/>
    </xf>
    <xf numFmtId="3" fontId="15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14" borderId="7" xfId="0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2" fillId="14" borderId="11" xfId="0" applyFont="1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43" fontId="1" fillId="3" borderId="11" xfId="1" applyFill="1" applyBorder="1" applyAlignment="1">
      <alignment horizontal="center" vertical="center"/>
    </xf>
    <xf numFmtId="180" fontId="58" fillId="19" borderId="0" xfId="4" applyNumberFormat="1" applyFont="1" applyFill="1" applyAlignment="1">
      <alignment horizontal="center" vertical="center"/>
    </xf>
    <xf numFmtId="17" fontId="5" fillId="0" borderId="37" xfId="13" applyNumberFormat="1" applyFont="1" applyBorder="1" applyAlignment="1">
      <alignment horizontal="center" vertical="center"/>
    </xf>
    <xf numFmtId="17" fontId="5" fillId="0" borderId="38" xfId="13" applyNumberFormat="1" applyFont="1" applyBorder="1" applyAlignment="1">
      <alignment horizontal="center" vertical="center"/>
    </xf>
    <xf numFmtId="17" fontId="5" fillId="0" borderId="39" xfId="13" applyNumberFormat="1" applyFont="1" applyBorder="1" applyAlignment="1">
      <alignment horizontal="center" vertical="center"/>
    </xf>
    <xf numFmtId="17" fontId="5" fillId="0" borderId="40" xfId="13" applyNumberFormat="1" applyFont="1" applyBorder="1" applyAlignment="1">
      <alignment horizontal="center"/>
    </xf>
    <xf numFmtId="17" fontId="5" fillId="0" borderId="41" xfId="13" applyNumberFormat="1" applyFont="1" applyBorder="1" applyAlignment="1">
      <alignment horizontal="center"/>
    </xf>
    <xf numFmtId="17" fontId="5" fillId="0" borderId="34" xfId="13" applyNumberFormat="1" applyFont="1" applyBorder="1" applyAlignment="1">
      <alignment horizontal="center" vertical="center" wrapText="1"/>
    </xf>
    <xf numFmtId="17" fontId="5" fillId="0" borderId="35" xfId="13" applyNumberFormat="1" applyFont="1" applyBorder="1" applyAlignment="1">
      <alignment horizontal="center" vertical="center" wrapText="1"/>
    </xf>
    <xf numFmtId="17" fontId="5" fillId="0" borderId="36" xfId="13" applyNumberFormat="1" applyFont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1" fillId="6" borderId="0" xfId="9" applyFont="1" applyFill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5" fillId="0" borderId="0" xfId="4" applyFont="1" applyAlignment="1">
      <alignment horizontal="center" vertical="center" wrapText="1"/>
    </xf>
    <xf numFmtId="0" fontId="5" fillId="0" borderId="3" xfId="4" applyFont="1" applyBorder="1" applyAlignment="1">
      <alignment horizontal="center" vertical="center" wrapText="1"/>
    </xf>
    <xf numFmtId="0" fontId="5" fillId="20" borderId="0" xfId="4" applyFont="1" applyFill="1" applyAlignment="1">
      <alignment horizontal="center" vertical="center" wrapText="1"/>
    </xf>
    <xf numFmtId="0" fontId="5" fillId="20" borderId="3" xfId="4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62" fillId="0" borderId="0" xfId="15" applyFont="1" applyAlignment="1">
      <alignment horizontal="left" wrapText="1"/>
    </xf>
    <xf numFmtId="10" fontId="5" fillId="0" borderId="29" xfId="3" applyNumberFormat="1" applyFont="1" applyBorder="1" applyAlignment="1">
      <alignment horizontal="center" vertical="center"/>
    </xf>
    <xf numFmtId="10" fontId="5" fillId="0" borderId="30" xfId="3" applyNumberFormat="1" applyFont="1" applyBorder="1" applyAlignment="1">
      <alignment horizontal="center" vertical="center"/>
    </xf>
    <xf numFmtId="10" fontId="5" fillId="0" borderId="31" xfId="3" applyNumberFormat="1" applyFont="1" applyBorder="1" applyAlignment="1">
      <alignment horizontal="center" vertical="center"/>
    </xf>
    <xf numFmtId="0" fontId="23" fillId="2" borderId="0" xfId="5" applyFont="1" applyFill="1" applyAlignment="1">
      <alignment horizontal="center"/>
    </xf>
    <xf numFmtId="0" fontId="24" fillId="11" borderId="6" xfId="5" applyFont="1" applyFill="1" applyBorder="1" applyAlignment="1">
      <alignment horizontal="center" vertical="center" wrapText="1"/>
    </xf>
    <xf numFmtId="0" fontId="24" fillId="11" borderId="9" xfId="5" applyFont="1" applyFill="1" applyBorder="1" applyAlignment="1">
      <alignment horizontal="center" vertical="center" wrapText="1"/>
    </xf>
    <xf numFmtId="0" fontId="4" fillId="11" borderId="6" xfId="5" applyFill="1" applyBorder="1" applyAlignment="1">
      <alignment horizontal="center" vertical="center" wrapText="1"/>
    </xf>
    <xf numFmtId="0" fontId="4" fillId="11" borderId="9" xfId="5" applyFill="1" applyBorder="1" applyAlignment="1">
      <alignment horizontal="center" vertical="center" wrapText="1"/>
    </xf>
    <xf numFmtId="168" fontId="27" fillId="4" borderId="9" xfId="6" applyNumberFormat="1" applyFont="1" applyFill="1" applyBorder="1" applyAlignment="1" applyProtection="1">
      <alignment horizontal="center" vertical="center" wrapText="1"/>
      <protection locked="0"/>
    </xf>
    <xf numFmtId="168" fontId="27" fillId="4" borderId="8" xfId="6" applyNumberFormat="1" applyFont="1" applyFill="1" applyBorder="1" applyAlignment="1" applyProtection="1">
      <alignment horizontal="center" vertical="center" wrapText="1"/>
      <protection locked="0"/>
    </xf>
    <xf numFmtId="168" fontId="26" fillId="5" borderId="9" xfId="5" applyNumberFormat="1" applyFont="1" applyFill="1" applyBorder="1" applyAlignment="1">
      <alignment horizontal="center" vertical="center" wrapText="1"/>
    </xf>
    <xf numFmtId="168" fontId="26" fillId="5" borderId="8" xfId="5" applyNumberFormat="1" applyFont="1" applyFill="1" applyBorder="1" applyAlignment="1">
      <alignment horizontal="center" vertical="center" wrapText="1"/>
    </xf>
    <xf numFmtId="168" fontId="26" fillId="5" borderId="9" xfId="5" applyNumberFormat="1" applyFont="1" applyFill="1" applyBorder="1" applyAlignment="1">
      <alignment horizontal="center" vertical="center"/>
    </xf>
    <xf numFmtId="168" fontId="26" fillId="5" borderId="8" xfId="5" applyNumberFormat="1" applyFont="1" applyFill="1" applyBorder="1" applyAlignment="1">
      <alignment horizontal="center" vertical="center"/>
    </xf>
    <xf numFmtId="168" fontId="26" fillId="5" borderId="9" xfId="6" applyNumberFormat="1" applyFont="1" applyFill="1" applyBorder="1" applyAlignment="1">
      <alignment horizontal="center" vertical="center" wrapText="1"/>
    </xf>
    <xf numFmtId="168" fontId="26" fillId="5" borderId="8" xfId="6" applyNumberFormat="1" applyFont="1" applyFill="1" applyBorder="1" applyAlignment="1">
      <alignment horizontal="center" vertical="center" wrapText="1"/>
    </xf>
  </cellXfs>
  <cellStyles count="18">
    <cellStyle name="Comma 2 2" xfId="11" xr:uid="{00000000-0005-0000-0000-000000000000}"/>
    <cellStyle name="Hiperlink" xfId="15" builtinId="8"/>
    <cellStyle name="Moeda" xfId="2" builtinId="4"/>
    <cellStyle name="Moeda 2" xfId="8" xr:uid="{00000000-0005-0000-0000-000003000000}"/>
    <cellStyle name="Moeda 3" xfId="12" xr:uid="{00000000-0005-0000-0000-000004000000}"/>
    <cellStyle name="Normal" xfId="0" builtinId="0"/>
    <cellStyle name="Normal - Style1 2 2" xfId="10" xr:uid="{00000000-0005-0000-0000-000006000000}"/>
    <cellStyle name="Normal 12" xfId="13" xr:uid="{00000000-0005-0000-0000-000007000000}"/>
    <cellStyle name="Normal 2" xfId="9" xr:uid="{00000000-0005-0000-0000-000008000000}"/>
    <cellStyle name="Normal 2 2" xfId="14" xr:uid="{00000000-0005-0000-0000-000009000000}"/>
    <cellStyle name="Normal 4" xfId="4" xr:uid="{00000000-0005-0000-0000-00000A000000}"/>
    <cellStyle name="Normal 5" xfId="5" xr:uid="{00000000-0005-0000-0000-00000B000000}"/>
    <cellStyle name="Porcentagem" xfId="3" builtinId="5"/>
    <cellStyle name="Porcentagem 2" xfId="7" xr:uid="{00000000-0005-0000-0000-00000D000000}"/>
    <cellStyle name="Separador de milhares 3" xfId="6" xr:uid="{00000000-0005-0000-0000-00000E000000}"/>
    <cellStyle name="Separador de milhares 3 2" xfId="17" xr:uid="{00000000-0005-0000-0000-00000F000000}"/>
    <cellStyle name="Vírgula" xfId="1" builtinId="3"/>
    <cellStyle name="Vírgula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Quadro Resumo - Bônus-Desconto 2018</a:t>
            </a:r>
          </a:p>
        </c:rich>
      </c:tx>
      <c:layout>
        <c:manualLayout>
          <c:xMode val="edge"/>
          <c:yMode val="edge"/>
          <c:x val="0.12639866445193665"/>
          <c:y val="2.1213123406927839E-2"/>
        </c:manualLayout>
      </c:layout>
      <c:overlay val="0"/>
    </c:title>
    <c:autoTitleDeleted val="0"/>
    <c:view3D>
      <c:rotX val="30"/>
      <c:rotY val="23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213173594202436E-2"/>
          <c:y val="0.22905269486191324"/>
          <c:w val="0.59579829403206863"/>
          <c:h val="0.63733555653547946"/>
        </c:manualLayout>
      </c:layout>
      <c:pie3DChart>
        <c:varyColors val="1"/>
        <c:ser>
          <c:idx val="0"/>
          <c:order val="0"/>
          <c:tx>
            <c:strRef>
              <c:f>'Bonus Desconto'!$J$6:$N$6</c:f>
              <c:strCache>
                <c:ptCount val="5"/>
                <c:pt idx="0">
                  <c:v>Quadro Resumo - Bônus-Desconto</c:v>
                </c:pt>
              </c:strCache>
            </c:strRef>
          </c:tx>
          <c:explosion val="16"/>
          <c:dPt>
            <c:idx val="0"/>
            <c:bubble3D val="0"/>
            <c:explosion val="10"/>
            <c:extLst>
              <c:ext xmlns:c16="http://schemas.microsoft.com/office/drawing/2014/chart" uri="{C3380CC4-5D6E-409C-BE32-E72D297353CC}">
                <c16:uniqueId val="{00000001-0EC1-4BB5-9E05-552DDBB138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'Bonus Desconto'!$K$7:$N$7</c:f>
              <c:strCache>
                <c:ptCount val="4"/>
                <c:pt idx="0">
                  <c:v>Residencial Normal</c:v>
                </c:pt>
                <c:pt idx="1">
                  <c:v>Residencial Popular</c:v>
                </c:pt>
                <c:pt idx="2">
                  <c:v>Comercial</c:v>
                </c:pt>
                <c:pt idx="3">
                  <c:v>Industrial</c:v>
                </c:pt>
              </c:strCache>
            </c:strRef>
          </c:cat>
          <c:val>
            <c:numRef>
              <c:f>'Bonus Desconto'!$K$12:$N$12</c:f>
              <c:numCache>
                <c:formatCode>_(* #,##0.00_);_(* \(#,##0.00\);_(* "-"??_);_(@_)</c:formatCode>
                <c:ptCount val="4"/>
                <c:pt idx="0">
                  <c:v>7424620.9293154944</c:v>
                </c:pt>
                <c:pt idx="1">
                  <c:v>3347.7061119047698</c:v>
                </c:pt>
                <c:pt idx="2">
                  <c:v>2697662.8386836862</c:v>
                </c:pt>
                <c:pt idx="3">
                  <c:v>186446.52131200428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C1-4BB5-9E05-552DDBB13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257274569558962"/>
          <c:y val="0.14583658806574906"/>
          <c:w val="0.22992234271305478"/>
          <c:h val="0.21754422606988449"/>
        </c:manualLayout>
      </c:layout>
      <c:overlay val="0"/>
      <c:txPr>
        <a:bodyPr/>
        <a:lstStyle/>
        <a:p>
          <a:pPr>
            <a:defRPr sz="1200" b="1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1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10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3357562</xdr:colOff>
      <xdr:row>5</xdr:row>
      <xdr:rowOff>95249</xdr:rowOff>
    </xdr:from>
    <xdr:to>
      <xdr:col>4</xdr:col>
      <xdr:colOff>757237</xdr:colOff>
      <xdr:row>8</xdr:row>
      <xdr:rowOff>88105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85EDCB9-45C4-49A2-B8AD-90BD766C3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1238249"/>
          <a:ext cx="2924175" cy="564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119061</xdr:colOff>
      <xdr:row>11</xdr:row>
      <xdr:rowOff>47625</xdr:rowOff>
    </xdr:from>
    <xdr:to>
      <xdr:col>1</xdr:col>
      <xdr:colOff>2014536</xdr:colOff>
      <xdr:row>15</xdr:row>
      <xdr:rowOff>57150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3D62E8A-5190-4223-BF1A-8E651525F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4" y="2333625"/>
          <a:ext cx="18954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95249</xdr:colOff>
      <xdr:row>17</xdr:row>
      <xdr:rowOff>119062</xdr:rowOff>
    </xdr:from>
    <xdr:to>
      <xdr:col>1</xdr:col>
      <xdr:colOff>2105024</xdr:colOff>
      <xdr:row>19</xdr:row>
      <xdr:rowOff>116680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1739696-34BD-4B28-BBA7-189213279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" y="3548062"/>
          <a:ext cx="2009775" cy="378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2524125</xdr:colOff>
      <xdr:row>17</xdr:row>
      <xdr:rowOff>119062</xdr:rowOff>
    </xdr:from>
    <xdr:to>
      <xdr:col>6</xdr:col>
      <xdr:colOff>373056</xdr:colOff>
      <xdr:row>20</xdr:row>
      <xdr:rowOff>61848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4A567B51-8F8F-4F15-B437-7E029EBC3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33688" y="3548062"/>
          <a:ext cx="6409524" cy="514286"/>
        </a:xfrm>
        <a:prstGeom prst="rect">
          <a:avLst/>
        </a:prstGeom>
      </xdr:spPr>
    </xdr:pic>
    <xdr:clientData/>
  </xdr:twoCellAnchor>
  <xdr:twoCellAnchor editAs="oneCell">
    <xdr:from>
      <xdr:col>1</xdr:col>
      <xdr:colOff>2547936</xdr:colOff>
      <xdr:row>12</xdr:row>
      <xdr:rowOff>23813</xdr:rowOff>
    </xdr:from>
    <xdr:to>
      <xdr:col>6</xdr:col>
      <xdr:colOff>396867</xdr:colOff>
      <xdr:row>14</xdr:row>
      <xdr:rowOff>90432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88DCC092-6DE9-40F4-9EB9-38518EFE0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499" y="2500313"/>
          <a:ext cx="6409524" cy="447619"/>
        </a:xfrm>
        <a:prstGeom prst="rect">
          <a:avLst/>
        </a:prstGeom>
      </xdr:spPr>
    </xdr:pic>
    <xdr:clientData/>
  </xdr:twoCellAnchor>
  <xdr:twoCellAnchor editAs="oneCell">
    <xdr:from>
      <xdr:col>1</xdr:col>
      <xdr:colOff>107157</xdr:colOff>
      <xdr:row>22</xdr:row>
      <xdr:rowOff>151868</xdr:rowOff>
    </xdr:from>
    <xdr:to>
      <xdr:col>1</xdr:col>
      <xdr:colOff>1190624</xdr:colOff>
      <xdr:row>26</xdr:row>
      <xdr:rowOff>152309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117B2D76-1B71-4D65-938A-AA4EE4727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16720" y="4533368"/>
          <a:ext cx="1083467" cy="762441"/>
        </a:xfrm>
        <a:prstGeom prst="rect">
          <a:avLst/>
        </a:prstGeom>
      </xdr:spPr>
    </xdr:pic>
    <xdr:clientData/>
  </xdr:twoCellAnchor>
  <xdr:twoCellAnchor editAs="oneCell">
    <xdr:from>
      <xdr:col>1</xdr:col>
      <xdr:colOff>2393155</xdr:colOff>
      <xdr:row>22</xdr:row>
      <xdr:rowOff>83342</xdr:rowOff>
    </xdr:from>
    <xdr:to>
      <xdr:col>4</xdr:col>
      <xdr:colOff>430560</xdr:colOff>
      <xdr:row>26</xdr:row>
      <xdr:rowOff>92771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A972418F-84E4-461A-9574-63DF7B560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702718" y="4464842"/>
          <a:ext cx="3561905" cy="771429"/>
        </a:xfrm>
        <a:prstGeom prst="rect">
          <a:avLst/>
        </a:prstGeom>
      </xdr:spPr>
    </xdr:pic>
    <xdr:clientData/>
  </xdr:twoCellAnchor>
  <xdr:twoCellAnchor editAs="oneCell">
    <xdr:from>
      <xdr:col>4</xdr:col>
      <xdr:colOff>988218</xdr:colOff>
      <xdr:row>21</xdr:row>
      <xdr:rowOff>0</xdr:rowOff>
    </xdr:from>
    <xdr:to>
      <xdr:col>11</xdr:col>
      <xdr:colOff>446869</xdr:colOff>
      <xdr:row>30</xdr:row>
      <xdr:rowOff>56929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D0ABE09E-2BC5-4C45-905F-00149D05B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822281" y="4191000"/>
          <a:ext cx="6447619" cy="1771429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1</xdr:row>
      <xdr:rowOff>107156</xdr:rowOff>
    </xdr:from>
    <xdr:to>
      <xdr:col>1</xdr:col>
      <xdr:colOff>2081213</xdr:colOff>
      <xdr:row>5</xdr:row>
      <xdr:rowOff>61913</xdr:rowOff>
    </xdr:to>
    <xdr:pic>
      <xdr:nvPicPr>
        <xdr:cNvPr id="12" name="Imagem 1" descr="cid:image001.jpg@01D496BB.41BEC8A0">
          <a:extLst>
            <a:ext uri="{FF2B5EF4-FFF2-40B4-BE49-F238E27FC236}">
              <a16:creationId xmlns:a16="http://schemas.microsoft.com/office/drawing/2014/main" id="{365459C7-B947-45FF-BE78-BA2E8B1E0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8" y="285750"/>
          <a:ext cx="1843088" cy="919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1847850</xdr:colOff>
      <xdr:row>5</xdr:row>
      <xdr:rowOff>95250</xdr:rowOff>
    </xdr:to>
    <xdr:pic>
      <xdr:nvPicPr>
        <xdr:cNvPr id="3" name="Imagem 1" descr="cid:image001.jpg@01D496BB.41BEC8A0">
          <a:extLst>
            <a:ext uri="{FF2B5EF4-FFF2-40B4-BE49-F238E27FC236}">
              <a16:creationId xmlns:a16="http://schemas.microsoft.com/office/drawing/2014/main" id="{6A570FBD-3378-4710-8DCD-974E3D133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80975"/>
          <a:ext cx="1847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20</xdr:row>
      <xdr:rowOff>177800</xdr:rowOff>
    </xdr:from>
    <xdr:to>
      <xdr:col>5</xdr:col>
      <xdr:colOff>885825</xdr:colOff>
      <xdr:row>26</xdr:row>
      <xdr:rowOff>0</xdr:rowOff>
    </xdr:to>
    <xdr:pic>
      <xdr:nvPicPr>
        <xdr:cNvPr id="3" name="Imagem 3" descr="image00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7728"/>
        <a:stretch/>
      </xdr:blipFill>
      <xdr:spPr bwMode="auto">
        <a:xfrm>
          <a:off x="3486150" y="6934200"/>
          <a:ext cx="5057775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2</xdr:row>
      <xdr:rowOff>134470</xdr:rowOff>
    </xdr:from>
    <xdr:to>
      <xdr:col>0</xdr:col>
      <xdr:colOff>3046879</xdr:colOff>
      <xdr:row>4</xdr:row>
      <xdr:rowOff>90767</xdr:rowOff>
    </xdr:to>
    <xdr:pic>
      <xdr:nvPicPr>
        <xdr:cNvPr id="4" name="Imagem 1" descr="cid:image001.jpg@01D496BB.41BEC8A0">
          <a:extLst>
            <a:ext uri="{FF2B5EF4-FFF2-40B4-BE49-F238E27FC236}">
              <a16:creationId xmlns:a16="http://schemas.microsoft.com/office/drawing/2014/main" id="{88FBB891-91A9-43E4-B27C-DD8F7E106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526676"/>
          <a:ext cx="1847850" cy="920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57150</xdr:colOff>
      <xdr:row>5</xdr:row>
      <xdr:rowOff>152400</xdr:rowOff>
    </xdr:to>
    <xdr:pic>
      <xdr:nvPicPr>
        <xdr:cNvPr id="3" name="Imagem 1" descr="cid:image001.jpg@01D496BB.41BEC8A0">
          <a:extLst>
            <a:ext uri="{FF2B5EF4-FFF2-40B4-BE49-F238E27FC236}">
              <a16:creationId xmlns:a16="http://schemas.microsoft.com/office/drawing/2014/main" id="{7BEE9555-8556-4A40-87B0-3CC001C86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80975"/>
          <a:ext cx="1847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3</xdr:col>
      <xdr:colOff>389467</xdr:colOff>
      <xdr:row>18</xdr:row>
      <xdr:rowOff>107949</xdr:rowOff>
    </xdr:to>
    <xdr:pic>
      <xdr:nvPicPr>
        <xdr:cNvPr id="9" name="Imagem 8" descr="Logo_ADASA_2009_Hor_Color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667" y="2645833"/>
          <a:ext cx="2622550" cy="880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561975</xdr:colOff>
      <xdr:row>5</xdr:row>
      <xdr:rowOff>152400</xdr:rowOff>
    </xdr:to>
    <xdr:pic>
      <xdr:nvPicPr>
        <xdr:cNvPr id="4" name="Imagem 1" descr="cid:image001.jpg@01D496BB.41BEC8A0">
          <a:extLst>
            <a:ext uri="{FF2B5EF4-FFF2-40B4-BE49-F238E27FC236}">
              <a16:creationId xmlns:a16="http://schemas.microsoft.com/office/drawing/2014/main" id="{46D078A2-5AD1-4D62-A9ED-A443DB7C2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80975"/>
          <a:ext cx="1847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</xdr:colOff>
      <xdr:row>15</xdr:row>
      <xdr:rowOff>178594</xdr:rowOff>
    </xdr:from>
    <xdr:to>
      <xdr:col>13</xdr:col>
      <xdr:colOff>523873</xdr:colOff>
      <xdr:row>33</xdr:row>
      <xdr:rowOff>130968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E8A0BFC-990B-46F3-BF96-179D43698F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11906</xdr:rowOff>
    </xdr:from>
    <xdr:to>
      <xdr:col>1</xdr:col>
      <xdr:colOff>1847850</xdr:colOff>
      <xdr:row>4</xdr:row>
      <xdr:rowOff>135731</xdr:rowOff>
    </xdr:to>
    <xdr:pic>
      <xdr:nvPicPr>
        <xdr:cNvPr id="5" name="Imagem 1" descr="cid:image001.jpg@01D496BB.41BEC8A0">
          <a:extLst>
            <a:ext uri="{FF2B5EF4-FFF2-40B4-BE49-F238E27FC236}">
              <a16:creationId xmlns:a16="http://schemas.microsoft.com/office/drawing/2014/main" id="{8F31F05E-341C-4952-99DA-BFDE9D113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219" y="11906"/>
          <a:ext cx="1847850" cy="9215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1847850</xdr:colOff>
      <xdr:row>3</xdr:row>
      <xdr:rowOff>323850</xdr:rowOff>
    </xdr:to>
    <xdr:pic>
      <xdr:nvPicPr>
        <xdr:cNvPr id="3" name="Imagem 1" descr="cid:image001.jpg@01D496BB.41BEC8A0">
          <a:extLst>
            <a:ext uri="{FF2B5EF4-FFF2-40B4-BE49-F238E27FC236}">
              <a16:creationId xmlns:a16="http://schemas.microsoft.com/office/drawing/2014/main" id="{1A4C9F1B-AEB2-4CB4-91D6-A6A8E5D86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1847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1847850</xdr:colOff>
      <xdr:row>5</xdr:row>
      <xdr:rowOff>152400</xdr:rowOff>
    </xdr:to>
    <xdr:pic>
      <xdr:nvPicPr>
        <xdr:cNvPr id="4" name="Imagem 1" descr="cid:image001.jpg@01D496BB.41BEC8A0">
          <a:extLst>
            <a:ext uri="{FF2B5EF4-FFF2-40B4-BE49-F238E27FC236}">
              <a16:creationId xmlns:a16="http://schemas.microsoft.com/office/drawing/2014/main" id="{6BA531B7-DFAF-498F-9535-605E80653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80975"/>
          <a:ext cx="1847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800100</xdr:colOff>
      <xdr:row>5</xdr:row>
      <xdr:rowOff>123825</xdr:rowOff>
    </xdr:to>
    <xdr:pic>
      <xdr:nvPicPr>
        <xdr:cNvPr id="3" name="Imagem 1" descr="cid:image001.jpg@01D496BB.41BEC8A0">
          <a:extLst>
            <a:ext uri="{FF2B5EF4-FFF2-40B4-BE49-F238E27FC236}">
              <a16:creationId xmlns:a16="http://schemas.microsoft.com/office/drawing/2014/main" id="{26CED4D7-3E95-4C10-9711-FB4E03F57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90500"/>
          <a:ext cx="1847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1847850</xdr:colOff>
      <xdr:row>4</xdr:row>
      <xdr:rowOff>123825</xdr:rowOff>
    </xdr:to>
    <xdr:pic>
      <xdr:nvPicPr>
        <xdr:cNvPr id="4" name="Imagem 1" descr="cid:image001.jpg@01D496BB.41BEC8A0">
          <a:extLst>
            <a:ext uri="{FF2B5EF4-FFF2-40B4-BE49-F238E27FC236}">
              <a16:creationId xmlns:a16="http://schemas.microsoft.com/office/drawing/2014/main" id="{3695CCAD-85AB-4F17-AF38-E667BE57D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847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1847850</xdr:colOff>
      <xdr:row>5</xdr:row>
      <xdr:rowOff>152400</xdr:rowOff>
    </xdr:to>
    <xdr:pic>
      <xdr:nvPicPr>
        <xdr:cNvPr id="3" name="Imagem 1" descr="cid:image001.jpg@01D496BB.41BEC8A0">
          <a:extLst>
            <a:ext uri="{FF2B5EF4-FFF2-40B4-BE49-F238E27FC236}">
              <a16:creationId xmlns:a16="http://schemas.microsoft.com/office/drawing/2014/main" id="{75C910AA-34AF-42E8-96B6-5EC01853F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80975"/>
          <a:ext cx="1847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04\WORKFA\lydiane\ME\ADASA\AP\MODELO_ER_-_ADASA_xv_1.1x_-_AP_001-2008\(BASE)%20EMPRESA%20REFERENCIA%20-%20ANEEL%20-%20CEB%20AP%20-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04\WORKFA\Users\Valuation%20Group\Business%20Valuation\SERVI&#199;OS\Regula&#231;&#227;o%20Econ&#244;mica\2.%20Projetos\2015\ADASA\6.%20Pesquisas%20DTT\0.%20ADASA%20-%20Planilhas\NT%20005-2010\MODELO_Custos%20Operacionais%20Eficientes%20-%20NT%20005-2010%20-%20Pos-AP001%20-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\WORKFA\Users\Valuation%20Group\Business%20Valuation\SERVI&#199;OS\Regula&#231;&#227;o%20Econ&#244;mica\2.%20Projetos\2014\Agesan\2.%20Execu&#231;&#227;o\Entrega%202%20-%20Diagn&#243;stico%20da%20Situa&#231;&#227;o%20atual\Item%20V\Lages\DRE%20Hist&#243;rica_Lag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01\WORKFAS\FAS\Clientes%202008\Henkel\WACC\WACC_junho_2008%20Ajustada_Henkel_v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bcfs\workfas\Users\CORPORA\Staff\Fernanda%20Sodr&#233;\Tr&#243;pico\Wacc%20VoiP%20Novembro_2004%20fernan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DE CONTROLE"/>
      <sheetName val="Parâmetros"/>
      <sheetName val="Consumidores"/>
      <sheetName val="Dados Físicos"/>
      <sheetName val="Custos Adicionais"/>
      <sheetName val="EmpresasDadosGerais"/>
      <sheetName val="Índices"/>
      <sheetName val="Custo Mat de Tarefas"/>
      <sheetName val="Custos EPC-EPI"/>
      <sheetName val="Custo Equipe"/>
      <sheetName val="Custos de Veículo"/>
      <sheetName val="Administração e Sistemas"/>
      <sheetName val="Salarios"/>
      <sheetName val="Cluster1"/>
      <sheetName val="Cluster2"/>
      <sheetName val="Cluster3"/>
      <sheetName val="Cluster4"/>
      <sheetName val="Cluster5"/>
      <sheetName val="Cluster6"/>
      <sheetName val="Cluster7"/>
      <sheetName val="Cluster8"/>
      <sheetName val="Cluster9"/>
      <sheetName val="Cluster10"/>
      <sheetName val="Gastos Gerencias Regionais"/>
      <sheetName val="Tarefas Comerciais"/>
      <sheetName val="Tarefas de O&amp;M"/>
      <sheetName val="Gastos Sistemas Computacionais"/>
      <sheetName val="Plan1"/>
      <sheetName val="Faturamento"/>
      <sheetName val="Perdas velha"/>
      <sheetName val="Perdas Nao Técnicas"/>
      <sheetName val="Teleatendimentovelho"/>
      <sheetName val="Teleatendimento"/>
      <sheetName val="Relatorio 1"/>
      <sheetName val="Relatorio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"/>
      <sheetName val="P-Indices"/>
      <sheetName val="P-Salarios"/>
      <sheetName val="P-Equipes"/>
      <sheetName val="P-Veiculos"/>
      <sheetName val="E-Estrutura"/>
      <sheetName val="E-AdmSist"/>
      <sheetName val="E-ETA-ETE"/>
      <sheetName val="E-Elevatorias"/>
      <sheetName val="E-Comercial"/>
      <sheetName val="E-Economias"/>
      <sheetName val="E-Fisicos-Agua (Cap)"/>
      <sheetName val="E-Fisicos-Agua (ETA)"/>
      <sheetName val="E-Fisicos-Agua (Dist)"/>
      <sheetName val="E-Fisicos-Esgoto (Col)"/>
      <sheetName val="E-Fisicos-Esgoto (ETE)"/>
      <sheetName val="E-Fisicos-Esgoto (Emi)"/>
      <sheetName val="E-Adicionais"/>
      <sheetName val="C-Sistemas"/>
      <sheetName val="C-EstCentral"/>
      <sheetName val="C-Regional"/>
      <sheetName val="C-Elevatorias"/>
      <sheetName val="C-ETA-ETE Adm"/>
      <sheetName val="C-ETA-ETE Insumos"/>
      <sheetName val="C-EscritCom"/>
      <sheetName val="C-Faturamento"/>
      <sheetName val="C-Teleatendimento"/>
      <sheetName val="C-O&amp;M-Agua (Cap)"/>
      <sheetName val="C-O&amp;M-Agua (ETA)"/>
      <sheetName val="C-O&amp;M-Agua (Dist)"/>
      <sheetName val="C-O&amp;M-Esgoto (Col)"/>
      <sheetName val="C-O&amp;M-Esgoto (ETE)"/>
      <sheetName val="C-O&amp;M-Esgoto (Emi)"/>
      <sheetName val="S-Geral"/>
      <sheetName val="S-Sistemas"/>
      <sheetName val="S-EstCentral"/>
      <sheetName val="S-Regional"/>
      <sheetName val="S-Elevatorias"/>
      <sheetName val="S-ETA-ETE"/>
      <sheetName val="S-EscritCom"/>
      <sheetName val="S-Faturamento"/>
      <sheetName val="S-Teleatendimento"/>
      <sheetName val="S-O&amp;M Gasto"/>
      <sheetName val="S-O&amp;M Qtdes"/>
      <sheetName val="S-CustSistema"/>
    </sheetNames>
    <sheetDataSet>
      <sheetData sheetId="0">
        <row r="9">
          <cell r="D9">
            <v>0.12106060606060608</v>
          </cell>
        </row>
        <row r="12">
          <cell r="D12">
            <v>2.1985163471443414E-2</v>
          </cell>
        </row>
        <row r="13">
          <cell r="D13">
            <v>-1.1395249954443298E-2</v>
          </cell>
        </row>
        <row r="15">
          <cell r="D15">
            <v>-4.1405391204552E-2</v>
          </cell>
        </row>
        <row r="16">
          <cell r="D16">
            <v>-6.7652311243394214E-2</v>
          </cell>
        </row>
      </sheetData>
      <sheetData sheetId="1">
        <row r="9">
          <cell r="D9">
            <v>0.28999999999999998</v>
          </cell>
        </row>
        <row r="10">
          <cell r="D10">
            <v>0.08</v>
          </cell>
        </row>
        <row r="11">
          <cell r="D11">
            <v>415</v>
          </cell>
        </row>
        <row r="12">
          <cell r="D12">
            <v>8.3333333333333329E-2</v>
          </cell>
        </row>
        <row r="13">
          <cell r="D13">
            <v>2.7777777777777776E-2</v>
          </cell>
        </row>
        <row r="15">
          <cell r="D15">
            <v>0.1</v>
          </cell>
        </row>
        <row r="16">
          <cell r="D16">
            <v>0.2</v>
          </cell>
        </row>
        <row r="17">
          <cell r="D17">
            <v>0.4</v>
          </cell>
        </row>
        <row r="18">
          <cell r="D18">
            <v>1.4999999999999999E-2</v>
          </cell>
        </row>
        <row r="19">
          <cell r="D19">
            <v>0</v>
          </cell>
        </row>
        <row r="20">
          <cell r="D20">
            <v>0.2</v>
          </cell>
        </row>
        <row r="21">
          <cell r="D21">
            <v>0</v>
          </cell>
        </row>
        <row r="22">
          <cell r="D22">
            <v>7.5</v>
          </cell>
        </row>
        <row r="23">
          <cell r="D23">
            <v>6</v>
          </cell>
        </row>
        <row r="24">
          <cell r="D24">
            <v>5</v>
          </cell>
        </row>
        <row r="25">
          <cell r="D25">
            <v>20</v>
          </cell>
        </row>
        <row r="26">
          <cell r="D26">
            <v>46</v>
          </cell>
        </row>
        <row r="27">
          <cell r="D27">
            <v>50</v>
          </cell>
        </row>
        <row r="28">
          <cell r="D28">
            <v>12</v>
          </cell>
        </row>
      </sheetData>
      <sheetData sheetId="2">
        <row r="9">
          <cell r="C9" t="str">
            <v>PRESIDENTE</v>
          </cell>
          <cell r="E9">
            <v>22456.841666666671</v>
          </cell>
          <cell r="F9">
            <v>22950.559001760659</v>
          </cell>
          <cell r="G9">
            <v>275406.70802112791</v>
          </cell>
          <cell r="L9">
            <v>22950.559001760659</v>
          </cell>
          <cell r="M9">
            <v>7650.1863339202191</v>
          </cell>
          <cell r="N9">
            <v>88742.161473474553</v>
          </cell>
          <cell r="O9">
            <v>24480.596268544705</v>
          </cell>
          <cell r="P9">
            <v>4131.1006203169181</v>
          </cell>
          <cell r="Q9">
            <v>55081.341604225585</v>
          </cell>
          <cell r="R9">
            <v>0</v>
          </cell>
          <cell r="S9">
            <v>203035.94530224265</v>
          </cell>
          <cell r="T9">
            <v>478442.65332337056</v>
          </cell>
          <cell r="U9">
            <v>39870.22111028088</v>
          </cell>
          <cell r="V9">
            <v>277.3580598976061</v>
          </cell>
        </row>
        <row r="10">
          <cell r="C10" t="str">
            <v>DIRETOR</v>
          </cell>
          <cell r="E10">
            <v>20204.134999999998</v>
          </cell>
          <cell r="F10">
            <v>20648.32621077411</v>
          </cell>
          <cell r="G10">
            <v>247779.91452928932</v>
          </cell>
          <cell r="L10">
            <v>20648.32621077411</v>
          </cell>
          <cell r="M10">
            <v>6882.7754035913695</v>
          </cell>
          <cell r="N10">
            <v>79840.194681659894</v>
          </cell>
          <cell r="O10">
            <v>22024.881291492387</v>
          </cell>
          <cell r="P10">
            <v>3716.6987179393395</v>
          </cell>
          <cell r="Q10">
            <v>49555.982905857869</v>
          </cell>
          <cell r="R10">
            <v>0</v>
          </cell>
          <cell r="S10">
            <v>182668.85921131496</v>
          </cell>
          <cell r="T10">
            <v>430448.77374060429</v>
          </cell>
          <cell r="U10">
            <v>35870.731145050355</v>
          </cell>
          <cell r="V10">
            <v>249.53552100904597</v>
          </cell>
        </row>
        <row r="11">
          <cell r="C11" t="str">
            <v>AN.SUPORTE A-V</v>
          </cell>
          <cell r="E11">
            <v>14056.206458333332</v>
          </cell>
          <cell r="F11">
            <v>14365.23445510815</v>
          </cell>
          <cell r="G11">
            <v>172382.8134612978</v>
          </cell>
          <cell r="L11">
            <v>14365.23445510815</v>
          </cell>
          <cell r="M11">
            <v>4788.4114850360502</v>
          </cell>
          <cell r="N11">
            <v>55545.573226418179</v>
          </cell>
          <cell r="O11">
            <v>15322.916752115359</v>
          </cell>
          <cell r="P11">
            <v>2585.7422019194669</v>
          </cell>
          <cell r="Q11">
            <v>34476.562692259562</v>
          </cell>
          <cell r="R11">
            <v>0</v>
          </cell>
          <cell r="S11">
            <v>127084.44081285677</v>
          </cell>
          <cell r="T11">
            <v>299467.25427415455</v>
          </cell>
          <cell r="U11">
            <v>24955.604522846214</v>
          </cell>
          <cell r="V11">
            <v>173.60420537632149</v>
          </cell>
        </row>
        <row r="12">
          <cell r="C12" t="str">
            <v>ANAL.OPERAC. IV</v>
          </cell>
          <cell r="E12">
            <v>12310.005869565217</v>
          </cell>
          <cell r="F12">
            <v>12580.643360942036</v>
          </cell>
          <cell r="G12">
            <v>150967.72033130444</v>
          </cell>
          <cell r="L12">
            <v>12580.643360942036</v>
          </cell>
          <cell r="M12">
            <v>4193.5477869806791</v>
          </cell>
          <cell r="N12">
            <v>48645.154328975877</v>
          </cell>
          <cell r="O12">
            <v>13419.352918338176</v>
          </cell>
          <cell r="P12">
            <v>2264.5158049695665</v>
          </cell>
          <cell r="Q12">
            <v>30193.544066260889</v>
          </cell>
          <cell r="R12">
            <v>0</v>
          </cell>
          <cell r="S12">
            <v>111296.75826646722</v>
          </cell>
          <cell r="T12">
            <v>262264.47859777167</v>
          </cell>
          <cell r="U12">
            <v>21855.373216480973</v>
          </cell>
          <cell r="V12">
            <v>152.03737889725895</v>
          </cell>
        </row>
        <row r="13">
          <cell r="C13" t="str">
            <v>AN.SUPORTE A-IV</v>
          </cell>
          <cell r="E13">
            <v>11291.15836666667</v>
          </cell>
          <cell r="F13">
            <v>11539.396329139792</v>
          </cell>
          <cell r="G13">
            <v>138472.75594967749</v>
          </cell>
          <cell r="L13">
            <v>11539.39632913979</v>
          </cell>
          <cell r="M13">
            <v>3846.4654430465966</v>
          </cell>
          <cell r="N13">
            <v>44618.999139340522</v>
          </cell>
          <cell r="O13">
            <v>12308.68941774911</v>
          </cell>
          <cell r="P13">
            <v>2077.0913392451621</v>
          </cell>
          <cell r="Q13">
            <v>27694.551189935501</v>
          </cell>
          <cell r="R13">
            <v>0</v>
          </cell>
          <cell r="S13">
            <v>102085.19285845668</v>
          </cell>
          <cell r="T13">
            <v>240557.94880813418</v>
          </cell>
          <cell r="U13">
            <v>20046.495734011183</v>
          </cell>
          <cell r="V13">
            <v>139.45388336703431</v>
          </cell>
        </row>
        <row r="14">
          <cell r="C14" t="str">
            <v>AN.SUPORTE A-III</v>
          </cell>
          <cell r="E14">
            <v>10932.878888888888</v>
          </cell>
          <cell r="F14">
            <v>11173.240018474604</v>
          </cell>
          <cell r="G14">
            <v>134078.88022169523</v>
          </cell>
          <cell r="L14">
            <v>11173.240018474602</v>
          </cell>
          <cell r="M14">
            <v>3724.4133394915339</v>
          </cell>
          <cell r="N14">
            <v>43203.194738101796</v>
          </cell>
          <cell r="O14">
            <v>11918.12268637291</v>
          </cell>
          <cell r="P14">
            <v>2011.1832033254284</v>
          </cell>
          <cell r="Q14">
            <v>26815.776044339047</v>
          </cell>
          <cell r="R14">
            <v>0</v>
          </cell>
          <cell r="S14">
            <v>98845.930030105315</v>
          </cell>
          <cell r="T14">
            <v>232924.81025180055</v>
          </cell>
          <cell r="U14">
            <v>19410.400854316711</v>
          </cell>
          <cell r="V14">
            <v>135.02887550829018</v>
          </cell>
        </row>
        <row r="15">
          <cell r="C15" t="str">
            <v>ANAL.OPERAC. III</v>
          </cell>
          <cell r="E15">
            <v>9956.3983854166672</v>
          </cell>
          <cell r="F15">
            <v>10175.291431506868</v>
          </cell>
          <cell r="G15">
            <v>122103.49717808241</v>
          </cell>
          <cell r="I15">
            <v>498</v>
          </cell>
          <cell r="L15">
            <v>10216.791431506867</v>
          </cell>
          <cell r="M15">
            <v>3405.5971438356223</v>
          </cell>
          <cell r="N15">
            <v>39504.926868493218</v>
          </cell>
          <cell r="O15">
            <v>10897.910860273993</v>
          </cell>
          <cell r="P15">
            <v>1831.5524576712362</v>
          </cell>
          <cell r="Q15">
            <v>24420.699435616483</v>
          </cell>
          <cell r="R15">
            <v>0</v>
          </cell>
          <cell r="S15">
            <v>90775.478197397417</v>
          </cell>
          <cell r="T15">
            <v>212878.97537547984</v>
          </cell>
          <cell r="U15">
            <v>17739.914614623322</v>
          </cell>
          <cell r="V15">
            <v>123.40810166694483</v>
          </cell>
        </row>
        <row r="16">
          <cell r="C16" t="str">
            <v>AN.SUPORTE B-III</v>
          </cell>
          <cell r="E16">
            <v>8422.9791666666661</v>
          </cell>
          <cell r="F16">
            <v>8608.1597405623943</v>
          </cell>
          <cell r="G16">
            <v>103297.91688674873</v>
          </cell>
          <cell r="L16">
            <v>8608.1597405623943</v>
          </cell>
          <cell r="M16">
            <v>2869.3865801874645</v>
          </cell>
          <cell r="N16">
            <v>33284.884330174587</v>
          </cell>
          <cell r="O16">
            <v>9182.0370565998874</v>
          </cell>
          <cell r="P16">
            <v>1549.4687533012309</v>
          </cell>
          <cell r="Q16">
            <v>20659.583377349747</v>
          </cell>
          <cell r="R16">
            <v>0</v>
          </cell>
          <cell r="S16">
            <v>76153.519838175314</v>
          </cell>
          <cell r="T16">
            <v>179451.43672492405</v>
          </cell>
          <cell r="U16">
            <v>14954.28639374367</v>
          </cell>
          <cell r="V16">
            <v>104.02981839126032</v>
          </cell>
        </row>
        <row r="17">
          <cell r="C17" t="str">
            <v>ANAL.OPERAC. II</v>
          </cell>
          <cell r="E17">
            <v>7928.1062847222238</v>
          </cell>
          <cell r="F17">
            <v>8102.4069974108197</v>
          </cell>
          <cell r="G17">
            <v>97228.883968929833</v>
          </cell>
          <cell r="I17">
            <v>498</v>
          </cell>
          <cell r="L17">
            <v>8143.9069974108188</v>
          </cell>
          <cell r="M17">
            <v>2714.6356658036061</v>
          </cell>
          <cell r="N17">
            <v>31489.773723321832</v>
          </cell>
          <cell r="O17">
            <v>8686.8341305715403</v>
          </cell>
          <cell r="P17">
            <v>1458.4332595339474</v>
          </cell>
          <cell r="Q17">
            <v>19445.776793785968</v>
          </cell>
          <cell r="R17">
            <v>0</v>
          </cell>
          <cell r="S17">
            <v>72437.360570427729</v>
          </cell>
          <cell r="T17">
            <v>169666.24453935755</v>
          </cell>
          <cell r="U17">
            <v>14138.853711613128</v>
          </cell>
          <cell r="V17">
            <v>98.357243211221771</v>
          </cell>
        </row>
        <row r="18">
          <cell r="C18" t="str">
            <v>AN.SUPORTE A-II</v>
          </cell>
          <cell r="E18">
            <v>6613.185625000001</v>
          </cell>
          <cell r="F18">
            <v>6758.5775920326259</v>
          </cell>
          <cell r="G18">
            <v>81102.931104391508</v>
          </cell>
          <cell r="L18">
            <v>6758.577592032625</v>
          </cell>
          <cell r="M18">
            <v>2252.8591973442085</v>
          </cell>
          <cell r="N18">
            <v>26133.166689192818</v>
          </cell>
          <cell r="O18">
            <v>7209.1494315014679</v>
          </cell>
          <cell r="P18">
            <v>1216.5439665658726</v>
          </cell>
          <cell r="Q18">
            <v>16220.586220878302</v>
          </cell>
          <cell r="R18">
            <v>0</v>
          </cell>
          <cell r="S18">
            <v>59790.883097515296</v>
          </cell>
          <cell r="T18">
            <v>140893.81420190679</v>
          </cell>
          <cell r="U18">
            <v>11741.151183492233</v>
          </cell>
          <cell r="V18">
            <v>81.677573450380748</v>
          </cell>
        </row>
        <row r="19">
          <cell r="C19" t="str">
            <v>TEC.CONTAB. II</v>
          </cell>
          <cell r="E19">
            <v>6534.2722916666671</v>
          </cell>
          <cell r="F19">
            <v>6677.929336165882</v>
          </cell>
          <cell r="G19">
            <v>80135.152033990584</v>
          </cell>
          <cell r="L19">
            <v>6677.929336165882</v>
          </cell>
          <cell r="M19">
            <v>2225.9764453886273</v>
          </cell>
          <cell r="N19">
            <v>25821.326766508075</v>
          </cell>
          <cell r="O19">
            <v>7123.1246252436076</v>
          </cell>
          <cell r="P19">
            <v>1202.0272805098587</v>
          </cell>
          <cell r="Q19">
            <v>16027.030406798118</v>
          </cell>
          <cell r="R19">
            <v>0</v>
          </cell>
          <cell r="S19">
            <v>59077.414860614175</v>
          </cell>
          <cell r="T19">
            <v>139212.56689460477</v>
          </cell>
          <cell r="U19">
            <v>11601.047241217064</v>
          </cell>
          <cell r="V19">
            <v>80.702937330205657</v>
          </cell>
        </row>
        <row r="20">
          <cell r="C20" t="str">
            <v>TEC.OPERAC. IV</v>
          </cell>
          <cell r="E20">
            <v>6300.295196078433</v>
          </cell>
          <cell r="F20">
            <v>6438.8082158825673</v>
          </cell>
          <cell r="G20">
            <v>77265.698590590808</v>
          </cell>
          <cell r="L20">
            <v>6438.8082158825673</v>
          </cell>
          <cell r="M20">
            <v>2146.2694052941888</v>
          </cell>
          <cell r="N20">
            <v>24896.725101412594</v>
          </cell>
          <cell r="O20">
            <v>6868.0620969414058</v>
          </cell>
          <cell r="P20">
            <v>1158.9854788588621</v>
          </cell>
          <cell r="Q20">
            <v>15453.139718118162</v>
          </cell>
          <cell r="R20">
            <v>0</v>
          </cell>
          <cell r="S20">
            <v>56961.990016507778</v>
          </cell>
          <cell r="T20">
            <v>134227.68860709859</v>
          </cell>
          <cell r="U20">
            <v>11185.640717258217</v>
          </cell>
          <cell r="V20">
            <v>77.81315281570933</v>
          </cell>
        </row>
        <row r="21">
          <cell r="C21" t="str">
            <v>TEC.CONTAB. III</v>
          </cell>
          <cell r="E21">
            <v>6095.7141666666676</v>
          </cell>
          <cell r="F21">
            <v>6229.7294390960278</v>
          </cell>
          <cell r="G21">
            <v>74756.753269152337</v>
          </cell>
          <cell r="L21">
            <v>6229.7294390960278</v>
          </cell>
          <cell r="M21">
            <v>2076.5764796986759</v>
          </cell>
          <cell r="N21">
            <v>24088.28716450464</v>
          </cell>
          <cell r="O21">
            <v>6645.0447350357636</v>
          </cell>
          <cell r="P21">
            <v>1121.3512990372851</v>
          </cell>
          <cell r="Q21">
            <v>14951.350653830468</v>
          </cell>
          <cell r="R21">
            <v>0</v>
          </cell>
          <cell r="S21">
            <v>55112.339771202853</v>
          </cell>
          <cell r="T21">
            <v>129869.09304035519</v>
          </cell>
          <cell r="U21">
            <v>10822.4244200296</v>
          </cell>
          <cell r="V21">
            <v>75.286430748031989</v>
          </cell>
        </row>
        <row r="22">
          <cell r="C22" t="str">
            <v>TEC.SEG.TRAB.III</v>
          </cell>
          <cell r="E22">
            <v>5847.2177083333336</v>
          </cell>
          <cell r="F22">
            <v>5975.7697455041607</v>
          </cell>
          <cell r="G22">
            <v>71709.236946049932</v>
          </cell>
          <cell r="L22">
            <v>5975.7697455041607</v>
          </cell>
          <cell r="M22">
            <v>1991.923248501387</v>
          </cell>
          <cell r="N22">
            <v>23106.309682616091</v>
          </cell>
          <cell r="O22">
            <v>6374.1543952044394</v>
          </cell>
          <cell r="P22">
            <v>1075.6385541907489</v>
          </cell>
          <cell r="Q22">
            <v>14341.847389209986</v>
          </cell>
          <cell r="R22">
            <v>0</v>
          </cell>
          <cell r="S22">
            <v>52865.643015226815</v>
          </cell>
          <cell r="T22">
            <v>124574.87996127675</v>
          </cell>
          <cell r="U22">
            <v>10381.239996773062</v>
          </cell>
          <cell r="V22">
            <v>72.217321716682179</v>
          </cell>
        </row>
        <row r="23">
          <cell r="C23" t="str">
            <v>TEC.SECRET. III</v>
          </cell>
          <cell r="E23">
            <v>5695.6366666666663</v>
          </cell>
          <cell r="F23">
            <v>5820.8561698572803</v>
          </cell>
          <cell r="G23">
            <v>69850.27403828736</v>
          </cell>
          <cell r="L23">
            <v>5820.8561698572794</v>
          </cell>
          <cell r="M23">
            <v>1940.2853899524266</v>
          </cell>
          <cell r="N23">
            <v>22507.310523448145</v>
          </cell>
          <cell r="O23">
            <v>6208.9132478477641</v>
          </cell>
          <cell r="P23">
            <v>1047.7541105743103</v>
          </cell>
          <cell r="Q23">
            <v>13970.054807657472</v>
          </cell>
          <cell r="R23">
            <v>0</v>
          </cell>
          <cell r="S23">
            <v>51495.174249337389</v>
          </cell>
          <cell r="T23">
            <v>121345.44828762475</v>
          </cell>
          <cell r="U23">
            <v>10112.120690635396</v>
          </cell>
          <cell r="V23">
            <v>70.345187413115795</v>
          </cell>
        </row>
        <row r="24">
          <cell r="C24" t="str">
            <v>ASSESSOR</v>
          </cell>
          <cell r="E24">
            <v>5286.5783914728681</v>
          </cell>
          <cell r="F24">
            <v>5402.8046816139995</v>
          </cell>
          <cell r="G24">
            <v>64833.656179367994</v>
          </cell>
          <cell r="L24">
            <v>5402.8046816139995</v>
          </cell>
          <cell r="M24">
            <v>1800.9348938713331</v>
          </cell>
          <cell r="N24">
            <v>20890.844768907467</v>
          </cell>
          <cell r="O24">
            <v>5762.9916603882666</v>
          </cell>
          <cell r="P24">
            <v>972.50484269051992</v>
          </cell>
          <cell r="Q24">
            <v>12966.7312358736</v>
          </cell>
          <cell r="R24">
            <v>0</v>
          </cell>
          <cell r="S24">
            <v>47796.812083345183</v>
          </cell>
          <cell r="T24">
            <v>112630.46826271317</v>
          </cell>
          <cell r="U24">
            <v>9385.8723552260981</v>
          </cell>
          <cell r="V24">
            <v>65.293025079833725</v>
          </cell>
        </row>
        <row r="25">
          <cell r="C25" t="str">
            <v>TEC.OPERAC. VI</v>
          </cell>
          <cell r="E25">
            <v>5244.7441666666664</v>
          </cell>
          <cell r="F25">
            <v>5360.0507245367326</v>
          </cell>
          <cell r="G25">
            <v>64320.608694440787</v>
          </cell>
          <cell r="L25">
            <v>5360.0507245367317</v>
          </cell>
          <cell r="M25">
            <v>1786.6835748455774</v>
          </cell>
          <cell r="N25">
            <v>20725.529468208697</v>
          </cell>
          <cell r="O25">
            <v>5717.3874395058483</v>
          </cell>
          <cell r="P25">
            <v>964.80913041661177</v>
          </cell>
          <cell r="Q25">
            <v>12864.121738888158</v>
          </cell>
          <cell r="R25">
            <v>0</v>
          </cell>
          <cell r="S25">
            <v>47418.582076401624</v>
          </cell>
          <cell r="T25">
            <v>111739.19077084241</v>
          </cell>
          <cell r="U25">
            <v>9311.5992309035337</v>
          </cell>
          <cell r="V25">
            <v>64.776342475850669</v>
          </cell>
        </row>
        <row r="26">
          <cell r="C26" t="str">
            <v>TEC.OPERAC. III</v>
          </cell>
          <cell r="E26">
            <v>5176.5381147540984</v>
          </cell>
          <cell r="F26">
            <v>5290.3451514231247</v>
          </cell>
          <cell r="G26">
            <v>63484.1418170775</v>
          </cell>
          <cell r="L26">
            <v>5290.3451514231247</v>
          </cell>
          <cell r="M26">
            <v>1763.4483838077083</v>
          </cell>
          <cell r="N26">
            <v>20456.001252169419</v>
          </cell>
          <cell r="O26">
            <v>5643.0348281846673</v>
          </cell>
          <cell r="P26">
            <v>952.26212725616244</v>
          </cell>
          <cell r="Q26">
            <v>12696.828363415501</v>
          </cell>
          <cell r="R26">
            <v>0</v>
          </cell>
          <cell r="S26">
            <v>46801.920106256584</v>
          </cell>
          <cell r="T26">
            <v>110286.06192333408</v>
          </cell>
          <cell r="U26">
            <v>9190.5051602778403</v>
          </cell>
          <cell r="V26">
            <v>63.933948941063235</v>
          </cell>
        </row>
        <row r="27">
          <cell r="C27" t="str">
            <v>AG.SUPORTE B-III</v>
          </cell>
          <cell r="E27">
            <v>5127.2628665123457</v>
          </cell>
          <cell r="F27">
            <v>5239.9865787936815</v>
          </cell>
          <cell r="G27">
            <v>62879.838945524178</v>
          </cell>
          <cell r="L27">
            <v>5239.9865787936815</v>
          </cell>
          <cell r="M27">
            <v>1746.6621929312271</v>
          </cell>
          <cell r="N27">
            <v>20261.281438002232</v>
          </cell>
          <cell r="O27">
            <v>5589.3190173799267</v>
          </cell>
          <cell r="P27">
            <v>943.19758418286267</v>
          </cell>
          <cell r="Q27">
            <v>12575.967789104836</v>
          </cell>
          <cell r="R27">
            <v>0</v>
          </cell>
          <cell r="S27">
            <v>46356.414600394761</v>
          </cell>
          <cell r="T27">
            <v>109236.25354591894</v>
          </cell>
          <cell r="U27">
            <v>9103.0211288265782</v>
          </cell>
          <cell r="V27">
            <v>63.325364374445762</v>
          </cell>
        </row>
        <row r="28">
          <cell r="C28" t="str">
            <v>TEC.INFORMAT.II</v>
          </cell>
          <cell r="E28">
            <v>4929.7445370370378</v>
          </cell>
          <cell r="F28">
            <v>5038.1257765562523</v>
          </cell>
          <cell r="G28">
            <v>60457.509318675031</v>
          </cell>
          <cell r="L28">
            <v>5038.1257765562523</v>
          </cell>
          <cell r="M28">
            <v>1679.375258852084</v>
          </cell>
          <cell r="N28">
            <v>19480.753002684174</v>
          </cell>
          <cell r="O28">
            <v>5374.0008283266698</v>
          </cell>
          <cell r="P28">
            <v>906.86263978012539</v>
          </cell>
          <cell r="Q28">
            <v>12091.501863735008</v>
          </cell>
          <cell r="R28">
            <v>0</v>
          </cell>
          <cell r="S28">
            <v>44570.619369934313</v>
          </cell>
          <cell r="T28">
            <v>105028.12868860934</v>
          </cell>
          <cell r="U28">
            <v>8752.3440573841126</v>
          </cell>
          <cell r="V28">
            <v>60.885871703541646</v>
          </cell>
        </row>
        <row r="29">
          <cell r="C29" t="str">
            <v>AG.OPERAC. A-VI</v>
          </cell>
          <cell r="E29">
            <v>4918.8289639639643</v>
          </cell>
          <cell r="F29">
            <v>5026.9702228247825</v>
          </cell>
          <cell r="G29">
            <v>60323.64267389739</v>
          </cell>
          <cell r="I29">
            <v>498</v>
          </cell>
          <cell r="L29">
            <v>5068.4702228247825</v>
          </cell>
          <cell r="M29">
            <v>1689.4900742749273</v>
          </cell>
          <cell r="N29">
            <v>19598.084861589159</v>
          </cell>
          <cell r="O29">
            <v>5406.3682376797688</v>
          </cell>
          <cell r="P29">
            <v>904.85464010846079</v>
          </cell>
          <cell r="Q29">
            <v>12064.728534779479</v>
          </cell>
          <cell r="R29">
            <v>0</v>
          </cell>
          <cell r="S29">
            <v>45229.996571256575</v>
          </cell>
          <cell r="T29">
            <v>105553.63924515396</v>
          </cell>
          <cell r="U29">
            <v>8796.1366037628304</v>
          </cell>
          <cell r="V29">
            <v>61.19051550443708</v>
          </cell>
        </row>
        <row r="30">
          <cell r="C30" t="str">
            <v>TEC.INFORMAT.III</v>
          </cell>
          <cell r="E30">
            <v>4898.1683333333331</v>
          </cell>
          <cell r="F30">
            <v>5005.8553648523139</v>
          </cell>
          <cell r="G30">
            <v>60070.264378227766</v>
          </cell>
          <cell r="L30">
            <v>5005.8553648523139</v>
          </cell>
          <cell r="M30">
            <v>1668.6184549507711</v>
          </cell>
          <cell r="N30">
            <v>19355.974077428946</v>
          </cell>
          <cell r="O30">
            <v>5339.5790558424687</v>
          </cell>
          <cell r="P30">
            <v>901.05396567341643</v>
          </cell>
          <cell r="Q30">
            <v>12014.052875645553</v>
          </cell>
          <cell r="R30">
            <v>0</v>
          </cell>
          <cell r="S30">
            <v>44285.13379439347</v>
          </cell>
          <cell r="T30">
            <v>104355.39817262124</v>
          </cell>
          <cell r="U30">
            <v>8696.2831810517691</v>
          </cell>
          <cell r="V30">
            <v>60.495882998621006</v>
          </cell>
        </row>
        <row r="31">
          <cell r="C31" t="str">
            <v>AN.SUPORTE A-I</v>
          </cell>
          <cell r="E31">
            <v>4876.5501255707759</v>
          </cell>
          <cell r="F31">
            <v>4983.7618772581372</v>
          </cell>
          <cell r="G31">
            <v>59805.142527097647</v>
          </cell>
          <cell r="L31">
            <v>4983.7618772581372</v>
          </cell>
          <cell r="M31">
            <v>1661.2539590860456</v>
          </cell>
          <cell r="N31">
            <v>19270.545925398128</v>
          </cell>
          <cell r="O31">
            <v>5316.0126690753459</v>
          </cell>
          <cell r="P31">
            <v>897.07713790646471</v>
          </cell>
          <cell r="Q31">
            <v>11961.02850541953</v>
          </cell>
          <cell r="R31">
            <v>0</v>
          </cell>
          <cell r="S31">
            <v>44089.680074143653</v>
          </cell>
          <cell r="T31">
            <v>103894.82260124129</v>
          </cell>
          <cell r="U31">
            <v>8657.9018834367744</v>
          </cell>
          <cell r="V31">
            <v>60.228882667386259</v>
          </cell>
        </row>
        <row r="32">
          <cell r="C32" t="str">
            <v>AG.OPERAC. B-III</v>
          </cell>
          <cell r="E32">
            <v>4575.4659761904768</v>
          </cell>
          <cell r="F32">
            <v>4676.0583436350516</v>
          </cell>
          <cell r="G32">
            <v>56112.70012362062</v>
          </cell>
          <cell r="L32">
            <v>4676.0583436350516</v>
          </cell>
          <cell r="M32">
            <v>1558.6861145450171</v>
          </cell>
          <cell r="N32">
            <v>18080.758928722196</v>
          </cell>
          <cell r="O32">
            <v>4987.795566544055</v>
          </cell>
          <cell r="P32">
            <v>841.69050185430922</v>
          </cell>
          <cell r="Q32">
            <v>11222.540024724125</v>
          </cell>
          <cell r="R32">
            <v>0</v>
          </cell>
          <cell r="S32">
            <v>41367.52948002475</v>
          </cell>
          <cell r="T32">
            <v>97480.229603645363</v>
          </cell>
          <cell r="U32">
            <v>8123.3524669704466</v>
          </cell>
          <cell r="V32">
            <v>56.510278031098764</v>
          </cell>
        </row>
        <row r="33">
          <cell r="C33" t="str">
            <v>ANAL.OPERAC. I</v>
          </cell>
          <cell r="E33">
            <v>4552.3954074074063</v>
          </cell>
          <cell r="F33">
            <v>4652.4805646259065</v>
          </cell>
          <cell r="G33">
            <v>55829.766775510878</v>
          </cell>
          <cell r="I33">
            <v>498</v>
          </cell>
          <cell r="L33">
            <v>4693.9805646259065</v>
          </cell>
          <cell r="M33">
            <v>1564.6601882086354</v>
          </cell>
          <cell r="N33">
            <v>18150.058183220168</v>
          </cell>
          <cell r="O33">
            <v>5006.9126022676337</v>
          </cell>
          <cell r="P33">
            <v>837.44650163266317</v>
          </cell>
          <cell r="Q33">
            <v>11165.953355102176</v>
          </cell>
          <cell r="R33">
            <v>0</v>
          </cell>
          <cell r="S33">
            <v>41917.011395057183</v>
          </cell>
          <cell r="T33">
            <v>97746.778170568054</v>
          </cell>
          <cell r="U33">
            <v>8145.5648475473381</v>
          </cell>
          <cell r="V33">
            <v>56.664798939459743</v>
          </cell>
        </row>
        <row r="34">
          <cell r="C34" t="str">
            <v>CONS. FISCAL</v>
          </cell>
          <cell r="E34">
            <v>4413.76</v>
          </cell>
          <cell r="F34">
            <v>4510.7972351237186</v>
          </cell>
          <cell r="G34">
            <v>54129.566821484623</v>
          </cell>
          <cell r="L34">
            <v>4510.7972351237186</v>
          </cell>
          <cell r="M34">
            <v>1503.5990783745729</v>
          </cell>
          <cell r="N34">
            <v>17441.749309145045</v>
          </cell>
          <cell r="O34">
            <v>4811.5170507986331</v>
          </cell>
          <cell r="P34">
            <v>811.9435023222693</v>
          </cell>
          <cell r="Q34">
            <v>10825.913364296925</v>
          </cell>
          <cell r="R34">
            <v>0</v>
          </cell>
          <cell r="S34">
            <v>39905.519540061163</v>
          </cell>
          <cell r="T34">
            <v>94035.086361545778</v>
          </cell>
          <cell r="U34">
            <v>7836.2571967954818</v>
          </cell>
          <cell r="V34">
            <v>54.513093542925091</v>
          </cell>
        </row>
        <row r="35">
          <cell r="C35" t="str">
            <v>AG.SUPORTE A-III</v>
          </cell>
          <cell r="E35">
            <v>4317.2598148148154</v>
          </cell>
          <cell r="F35">
            <v>4412.1754775922127</v>
          </cell>
          <cell r="G35">
            <v>52946.105731106552</v>
          </cell>
          <cell r="L35">
            <v>4412.1754775922127</v>
          </cell>
          <cell r="M35">
            <v>1470.7251591974041</v>
          </cell>
          <cell r="N35">
            <v>17060.411846689891</v>
          </cell>
          <cell r="O35">
            <v>4706.3205094316936</v>
          </cell>
          <cell r="P35">
            <v>794.19158596659827</v>
          </cell>
          <cell r="Q35">
            <v>10589.221146221311</v>
          </cell>
          <cell r="R35">
            <v>0</v>
          </cell>
          <cell r="S35">
            <v>39033.045725099109</v>
          </cell>
          <cell r="T35">
            <v>91979.151456205669</v>
          </cell>
          <cell r="U35">
            <v>7664.9292880171388</v>
          </cell>
          <cell r="V35">
            <v>53.321247220988795</v>
          </cell>
        </row>
        <row r="36">
          <cell r="C36" t="str">
            <v>TEC.SEG.TRAB.II</v>
          </cell>
          <cell r="E36">
            <v>4079.4641666666666</v>
          </cell>
          <cell r="F36">
            <v>4169.1518532467289</v>
          </cell>
          <cell r="G36">
            <v>50029.822238960747</v>
          </cell>
          <cell r="L36">
            <v>4169.1518532467289</v>
          </cell>
          <cell r="M36">
            <v>1389.7172844155762</v>
          </cell>
          <cell r="N36">
            <v>16120.720499220686</v>
          </cell>
          <cell r="O36">
            <v>4447.0953101298446</v>
          </cell>
          <cell r="P36">
            <v>750.44733358441113</v>
          </cell>
          <cell r="Q36">
            <v>10005.96444779215</v>
          </cell>
          <cell r="R36">
            <v>0</v>
          </cell>
          <cell r="S36">
            <v>36883.096728389399</v>
          </cell>
          <cell r="T36">
            <v>86912.918967350153</v>
          </cell>
          <cell r="U36">
            <v>7242.7432472791797</v>
          </cell>
          <cell r="V36">
            <v>50.384300850637771</v>
          </cell>
        </row>
        <row r="37">
          <cell r="C37" t="str">
            <v>TEC.OPERAC. II</v>
          </cell>
          <cell r="E37">
            <v>4041.8477845528464</v>
          </cell>
          <cell r="F37">
            <v>4130.7084688229324</v>
          </cell>
          <cell r="G37">
            <v>49568.501625875186</v>
          </cell>
          <cell r="I37">
            <v>498</v>
          </cell>
          <cell r="L37">
            <v>4172.2084688229315</v>
          </cell>
          <cell r="M37">
            <v>1390.7361562743106</v>
          </cell>
          <cell r="N37">
            <v>16132.539412782002</v>
          </cell>
          <cell r="O37">
            <v>4450.3557000777937</v>
          </cell>
          <cell r="P37">
            <v>743.52752438812774</v>
          </cell>
          <cell r="Q37">
            <v>9913.7003251750375</v>
          </cell>
          <cell r="R37">
            <v>0</v>
          </cell>
          <cell r="S37">
            <v>37301.0675875202</v>
          </cell>
          <cell r="T37">
            <v>86869.569213395385</v>
          </cell>
          <cell r="U37">
            <v>7239.1307677829491</v>
          </cell>
          <cell r="V37">
            <v>50.359170558490078</v>
          </cell>
        </row>
        <row r="38">
          <cell r="C38" t="str">
            <v>CONS.DE ADMINIS.</v>
          </cell>
          <cell r="E38">
            <v>3945.6339393939397</v>
          </cell>
          <cell r="F38">
            <v>4032.3793465499907</v>
          </cell>
          <cell r="G38">
            <v>48388.552158599887</v>
          </cell>
          <cell r="L38">
            <v>4032.3793465499903</v>
          </cell>
          <cell r="M38">
            <v>1344.1264488499967</v>
          </cell>
          <cell r="N38">
            <v>15591.866806659962</v>
          </cell>
          <cell r="O38">
            <v>4301.2046363199897</v>
          </cell>
          <cell r="P38">
            <v>725.82828237899832</v>
          </cell>
          <cell r="Q38">
            <v>9677.7104317199774</v>
          </cell>
          <cell r="R38">
            <v>0</v>
          </cell>
          <cell r="S38">
            <v>35673.115952478918</v>
          </cell>
          <cell r="T38">
            <v>84061.668111078805</v>
          </cell>
          <cell r="U38">
            <v>7005.1390092565671</v>
          </cell>
          <cell r="V38">
            <v>48.731401803523944</v>
          </cell>
        </row>
        <row r="39">
          <cell r="C39" t="str">
            <v>AG.OPERAC. A-V</v>
          </cell>
          <cell r="E39">
            <v>3888.8558399999997</v>
          </cell>
          <cell r="F39">
            <v>3974.352971359277</v>
          </cell>
          <cell r="G39">
            <v>47692.235656311328</v>
          </cell>
          <cell r="L39">
            <v>3974.352971359277</v>
          </cell>
          <cell r="M39">
            <v>1324.7843237864256</v>
          </cell>
          <cell r="N39">
            <v>15367.49815592254</v>
          </cell>
          <cell r="O39">
            <v>4239.309836116563</v>
          </cell>
          <cell r="P39">
            <v>715.38353484466984</v>
          </cell>
          <cell r="Q39">
            <v>9538.4471312622663</v>
          </cell>
          <cell r="R39">
            <v>0</v>
          </cell>
          <cell r="S39">
            <v>35159.775953291741</v>
          </cell>
          <cell r="T39">
            <v>82852.011609603069</v>
          </cell>
          <cell r="U39">
            <v>6904.3343008002557</v>
          </cell>
          <cell r="V39">
            <v>48.030151657740909</v>
          </cell>
        </row>
        <row r="40">
          <cell r="C40" t="str">
            <v>AG.SUPORTE B-II</v>
          </cell>
          <cell r="E40">
            <v>3784.5720274914079</v>
          </cell>
          <cell r="F40">
            <v>3867.7764621852584</v>
          </cell>
          <cell r="G40">
            <v>46413.317546223101</v>
          </cell>
          <cell r="L40">
            <v>3867.7764621852584</v>
          </cell>
          <cell r="M40">
            <v>1289.2588207284193</v>
          </cell>
          <cell r="N40">
            <v>14955.402320449664</v>
          </cell>
          <cell r="O40">
            <v>4125.6282263309422</v>
          </cell>
          <cell r="P40">
            <v>696.19976319334648</v>
          </cell>
          <cell r="Q40">
            <v>9282.6635092446213</v>
          </cell>
          <cell r="R40">
            <v>0</v>
          </cell>
          <cell r="S40">
            <v>34216.929102132257</v>
          </cell>
          <cell r="T40">
            <v>80630.246648355358</v>
          </cell>
          <cell r="U40">
            <v>6719.1872206962798</v>
          </cell>
          <cell r="V40">
            <v>46.742171970061079</v>
          </cell>
        </row>
        <row r="41">
          <cell r="C41" t="str">
            <v>AN.SUPORTE B-I</v>
          </cell>
          <cell r="E41">
            <v>3693.3237499999996</v>
          </cell>
          <cell r="F41">
            <v>3774.5220763967141</v>
          </cell>
          <cell r="G41">
            <v>45294.26491676057</v>
          </cell>
          <cell r="L41">
            <v>3774.5220763967141</v>
          </cell>
          <cell r="M41">
            <v>1258.1740254655713</v>
          </cell>
          <cell r="N41">
            <v>14594.818695400629</v>
          </cell>
          <cell r="O41">
            <v>4026.1568814898287</v>
          </cell>
          <cell r="P41">
            <v>679.41397375140855</v>
          </cell>
          <cell r="Q41">
            <v>9058.8529833521152</v>
          </cell>
          <cell r="R41">
            <v>0</v>
          </cell>
          <cell r="S41">
            <v>33391.938635856262</v>
          </cell>
          <cell r="T41">
            <v>78686.203552616833</v>
          </cell>
          <cell r="U41">
            <v>6557.1836293847364</v>
          </cell>
          <cell r="V41">
            <v>45.615190465285117</v>
          </cell>
        </row>
        <row r="42">
          <cell r="C42" t="str">
            <v>AG.OPERAC. A-IV</v>
          </cell>
          <cell r="E42">
            <v>3334.8827245862867</v>
          </cell>
          <cell r="F42">
            <v>3408.2006664444089</v>
          </cell>
          <cell r="G42">
            <v>40898.407997332906</v>
          </cell>
          <cell r="L42">
            <v>3408.2006664444089</v>
          </cell>
          <cell r="M42">
            <v>1136.066888814803</v>
          </cell>
          <cell r="N42">
            <v>13178.375910251714</v>
          </cell>
          <cell r="O42">
            <v>3635.4140442073694</v>
          </cell>
          <cell r="P42">
            <v>613.47611995999353</v>
          </cell>
          <cell r="Q42">
            <v>8179.6815994665812</v>
          </cell>
          <cell r="R42">
            <v>0</v>
          </cell>
          <cell r="S42">
            <v>30151.215229144869</v>
          </cell>
          <cell r="T42">
            <v>71049.623226477779</v>
          </cell>
          <cell r="U42">
            <v>5920.8019355398146</v>
          </cell>
          <cell r="V42">
            <v>41.188187377668278</v>
          </cell>
        </row>
        <row r="43">
          <cell r="C43" t="str">
            <v>AG.OPERAC. B-II</v>
          </cell>
          <cell r="D43" t="str">
            <v>O1e2</v>
          </cell>
          <cell r="E43">
            <v>3239.4658830845806</v>
          </cell>
          <cell r="F43">
            <v>3310.686070084359</v>
          </cell>
          <cell r="G43">
            <v>39728.232841012308</v>
          </cell>
          <cell r="H43">
            <v>0</v>
          </cell>
          <cell r="I43">
            <v>1992</v>
          </cell>
          <cell r="L43">
            <v>3476.686070084359</v>
          </cell>
          <cell r="M43">
            <v>1158.8953566947862</v>
          </cell>
          <cell r="N43">
            <v>13443.186137659523</v>
          </cell>
          <cell r="O43">
            <v>3708.4651414233167</v>
          </cell>
          <cell r="P43">
            <v>595.92349261518461</v>
          </cell>
          <cell r="Q43">
            <v>7945.6465682024618</v>
          </cell>
          <cell r="R43">
            <v>0</v>
          </cell>
          <cell r="S43">
            <v>32320.80276667963</v>
          </cell>
          <cell r="T43">
            <v>72049.035607691942</v>
          </cell>
          <cell r="U43">
            <v>6004.0863006409954</v>
          </cell>
          <cell r="V43">
            <v>41.767556874024315</v>
          </cell>
        </row>
        <row r="44">
          <cell r="C44" t="str">
            <v>EMPR EM COMISSAO</v>
          </cell>
          <cell r="E44">
            <v>2993.9708333333333</v>
          </cell>
          <cell r="F44">
            <v>3059.7937715329003</v>
          </cell>
          <cell r="G44">
            <v>36717.525258394802</v>
          </cell>
          <cell r="L44">
            <v>3059.7937715328999</v>
          </cell>
          <cell r="M44">
            <v>1019.9312571776334</v>
          </cell>
          <cell r="N44">
            <v>11831.202583260547</v>
          </cell>
          <cell r="O44">
            <v>3263.7800229684271</v>
          </cell>
          <cell r="P44">
            <v>550.76287887592207</v>
          </cell>
          <cell r="Q44">
            <v>7343.5050516789606</v>
          </cell>
          <cell r="R44">
            <v>0</v>
          </cell>
          <cell r="S44">
            <v>27068.975565494387</v>
          </cell>
          <cell r="T44">
            <v>63786.50082388919</v>
          </cell>
          <cell r="U44">
            <v>5315.5417353240991</v>
          </cell>
          <cell r="V44">
            <v>36.977681637037215</v>
          </cell>
        </row>
        <row r="45">
          <cell r="C45" t="str">
            <v>VIGIA</v>
          </cell>
          <cell r="E45">
            <v>2877.467916666667</v>
          </cell>
          <cell r="F45">
            <v>2940.7295191984172</v>
          </cell>
          <cell r="G45">
            <v>35288.754230381004</v>
          </cell>
          <cell r="L45">
            <v>2940.7295191984167</v>
          </cell>
          <cell r="M45">
            <v>980.24317306613898</v>
          </cell>
          <cell r="N45">
            <v>11370.820807567212</v>
          </cell>
          <cell r="O45">
            <v>3136.7781538116451</v>
          </cell>
          <cell r="P45">
            <v>529.33131345571508</v>
          </cell>
          <cell r="Q45">
            <v>7057.750846076201</v>
          </cell>
          <cell r="R45">
            <v>0</v>
          </cell>
          <cell r="S45">
            <v>26015.653813175326</v>
          </cell>
          <cell r="T45">
            <v>61304.40804355633</v>
          </cell>
          <cell r="U45">
            <v>5108.7006702963608</v>
          </cell>
          <cell r="V45">
            <v>35.538787271626859</v>
          </cell>
        </row>
        <row r="46">
          <cell r="C46" t="str">
            <v>TEC.OPERAC. I</v>
          </cell>
          <cell r="D46" t="str">
            <v>O3</v>
          </cell>
          <cell r="E46">
            <v>2851.9438677536236</v>
          </cell>
          <cell r="F46">
            <v>2914.6443198975676</v>
          </cell>
          <cell r="G46">
            <v>34975.731838770807</v>
          </cell>
          <cell r="H46">
            <v>0</v>
          </cell>
          <cell r="I46">
            <v>1992</v>
          </cell>
          <cell r="L46">
            <v>3080.6443198975671</v>
          </cell>
          <cell r="M46">
            <v>1026.8814399658556</v>
          </cell>
          <cell r="N46">
            <v>11911.824703603927</v>
          </cell>
          <cell r="O46">
            <v>3286.020607890739</v>
          </cell>
          <cell r="P46">
            <v>524.63597758156209</v>
          </cell>
          <cell r="Q46">
            <v>6995.1463677541615</v>
          </cell>
          <cell r="R46">
            <v>0</v>
          </cell>
          <cell r="S46">
            <v>28817.153416693811</v>
          </cell>
          <cell r="T46">
            <v>63792.885255464615</v>
          </cell>
          <cell r="U46">
            <v>5316.0737712887176</v>
          </cell>
          <cell r="V46">
            <v>36.981382756791078</v>
          </cell>
        </row>
        <row r="47">
          <cell r="C47" t="str">
            <v>AG.OPERAC. A-III</v>
          </cell>
          <cell r="D47" t="str">
            <v>O4</v>
          </cell>
          <cell r="E47">
            <v>2811.5910944206007</v>
          </cell>
          <cell r="F47">
            <v>2873.404384246292</v>
          </cell>
          <cell r="G47">
            <v>34480.852610955502</v>
          </cell>
          <cell r="H47">
            <v>0</v>
          </cell>
          <cell r="I47">
            <v>996</v>
          </cell>
          <cell r="L47">
            <v>2956.4043842462916</v>
          </cell>
          <cell r="M47">
            <v>985.46812808209722</v>
          </cell>
          <cell r="N47">
            <v>11431.430285752327</v>
          </cell>
          <cell r="O47">
            <v>3153.4980098627111</v>
          </cell>
          <cell r="P47">
            <v>517.21278916433255</v>
          </cell>
          <cell r="Q47">
            <v>6896.1705221911006</v>
          </cell>
          <cell r="R47">
            <v>0</v>
          </cell>
          <cell r="S47">
            <v>26936.184119298861</v>
          </cell>
          <cell r="T47">
            <v>61417.03673025436</v>
          </cell>
          <cell r="U47">
            <v>5118.0863941878633</v>
          </cell>
          <cell r="V47">
            <v>35.604079263915573</v>
          </cell>
        </row>
        <row r="48">
          <cell r="C48" t="str">
            <v>TEC.SEG.TRAB.I</v>
          </cell>
          <cell r="E48">
            <v>2681.06</v>
          </cell>
          <cell r="F48">
            <v>2740.0035423767481</v>
          </cell>
          <cell r="G48">
            <v>32880.042508520979</v>
          </cell>
          <cell r="L48">
            <v>2740.0035423767481</v>
          </cell>
          <cell r="M48">
            <v>913.3345141255827</v>
          </cell>
          <cell r="N48">
            <v>10594.68036385676</v>
          </cell>
          <cell r="O48">
            <v>2922.6704452018648</v>
          </cell>
          <cell r="P48">
            <v>493.20063762781467</v>
          </cell>
          <cell r="Q48">
            <v>6576.0085017041965</v>
          </cell>
          <cell r="R48">
            <v>0</v>
          </cell>
          <cell r="S48">
            <v>24239.898004892966</v>
          </cell>
          <cell r="T48">
            <v>57119.940513413945</v>
          </cell>
          <cell r="U48">
            <v>4759.9950427844951</v>
          </cell>
          <cell r="V48">
            <v>33.113008993283444</v>
          </cell>
        </row>
        <row r="49">
          <cell r="C49" t="str">
            <v>TEC.CONTAB. I</v>
          </cell>
          <cell r="E49">
            <v>2601.4783333333335</v>
          </cell>
          <cell r="F49">
            <v>2658.6722597590851</v>
          </cell>
          <cell r="G49">
            <v>31904.067117109022</v>
          </cell>
          <cell r="L49">
            <v>2658.6722597590851</v>
          </cell>
          <cell r="M49">
            <v>886.22408658636164</v>
          </cell>
          <cell r="N49">
            <v>10280.199404401796</v>
          </cell>
          <cell r="O49">
            <v>2835.9170770763576</v>
          </cell>
          <cell r="P49">
            <v>478.56100675663532</v>
          </cell>
          <cell r="Q49">
            <v>6380.8134234218051</v>
          </cell>
          <cell r="R49">
            <v>0</v>
          </cell>
          <cell r="S49">
            <v>23520.38725800204</v>
          </cell>
          <cell r="T49">
            <v>55424.454375111061</v>
          </cell>
          <cell r="U49">
            <v>4618.7045312592554</v>
          </cell>
          <cell r="V49">
            <v>32.130118478325251</v>
          </cell>
        </row>
        <row r="50">
          <cell r="C50" t="str">
            <v>AG.SUPORTE A-I</v>
          </cell>
          <cell r="E50">
            <v>2432.5096639784947</v>
          </cell>
          <cell r="F50">
            <v>2485.9887865869277</v>
          </cell>
          <cell r="G50">
            <v>29831.865439043133</v>
          </cell>
          <cell r="L50">
            <v>2485.9887865869277</v>
          </cell>
          <cell r="M50">
            <v>828.66292886230917</v>
          </cell>
          <cell r="N50">
            <v>9612.4899748027874</v>
          </cell>
          <cell r="O50">
            <v>2651.72137235939</v>
          </cell>
          <cell r="P50">
            <v>447.477981585647</v>
          </cell>
          <cell r="Q50">
            <v>5966.3730878086271</v>
          </cell>
          <cell r="R50">
            <v>0</v>
          </cell>
          <cell r="S50">
            <v>21992.714132005691</v>
          </cell>
          <cell r="T50">
            <v>51824.579571048824</v>
          </cell>
          <cell r="U50">
            <v>4318.7149642540689</v>
          </cell>
          <cell r="V50">
            <v>30.043234533941348</v>
          </cell>
        </row>
        <row r="51">
          <cell r="C51" t="str">
            <v>AG.OPERAC. A-II</v>
          </cell>
          <cell r="E51">
            <v>1996.8821264367816</v>
          </cell>
          <cell r="F51">
            <v>2040.7839064196978</v>
          </cell>
          <cell r="G51">
            <v>24489.406877036374</v>
          </cell>
          <cell r="L51">
            <v>2040.7839064196978</v>
          </cell>
          <cell r="M51">
            <v>680.26130213989927</v>
          </cell>
          <cell r="N51">
            <v>7891.0311048228314</v>
          </cell>
          <cell r="O51">
            <v>2176.8361668476778</v>
          </cell>
          <cell r="P51">
            <v>367.34110315554557</v>
          </cell>
          <cell r="Q51">
            <v>4897.8813754072753</v>
          </cell>
          <cell r="R51">
            <v>0</v>
          </cell>
          <cell r="S51">
            <v>18054.134958792929</v>
          </cell>
          <cell r="T51">
            <v>42543.541835829303</v>
          </cell>
          <cell r="U51">
            <v>3545.2951529857751</v>
          </cell>
          <cell r="V51">
            <v>24.662922803379306</v>
          </cell>
        </row>
        <row r="52">
          <cell r="C52" t="str">
            <v>AG.OPERAC. A-II E</v>
          </cell>
          <cell r="E52">
            <v>1996.8821264367816</v>
          </cell>
          <cell r="F52">
            <v>2040.7839064196978</v>
          </cell>
          <cell r="G52">
            <v>24489.406877036374</v>
          </cell>
          <cell r="L52">
            <v>2040.7839064196978</v>
          </cell>
          <cell r="M52">
            <v>680.26130213989927</v>
          </cell>
          <cell r="N52">
            <v>7891.0311048228314</v>
          </cell>
          <cell r="O52">
            <v>2176.8361668476778</v>
          </cell>
          <cell r="P52">
            <v>367.34110315554557</v>
          </cell>
          <cell r="Q52">
            <v>4897.8813754072753</v>
          </cell>
          <cell r="R52">
            <v>0</v>
          </cell>
          <cell r="S52">
            <v>18054.134958792929</v>
          </cell>
          <cell r="T52">
            <v>42543.541835829303</v>
          </cell>
          <cell r="U52">
            <v>3545.2951529857751</v>
          </cell>
          <cell r="V52">
            <v>24.662922803379306</v>
          </cell>
        </row>
        <row r="53">
          <cell r="C53" t="str">
            <v>AG.OPERAC. A-II A</v>
          </cell>
          <cell r="E53">
            <v>1996.8821264367816</v>
          </cell>
          <cell r="F53">
            <v>2040.7839064196978</v>
          </cell>
          <cell r="G53">
            <v>24489.406877036374</v>
          </cell>
          <cell r="L53">
            <v>2040.7839064196978</v>
          </cell>
          <cell r="M53">
            <v>680.26130213989927</v>
          </cell>
          <cell r="N53">
            <v>7891.0311048228314</v>
          </cell>
          <cell r="O53">
            <v>2176.8361668476778</v>
          </cell>
          <cell r="P53">
            <v>367.34110315554557</v>
          </cell>
          <cell r="Q53">
            <v>4897.8813754072753</v>
          </cell>
          <cell r="R53">
            <v>0</v>
          </cell>
          <cell r="S53">
            <v>18054.134958792929</v>
          </cell>
          <cell r="T53">
            <v>42543.541835829303</v>
          </cell>
          <cell r="U53">
            <v>3545.2951529857751</v>
          </cell>
          <cell r="V53">
            <v>24.662922803379306</v>
          </cell>
        </row>
        <row r="54">
          <cell r="C54" t="str">
            <v>AG.OPERAC. B-I</v>
          </cell>
          <cell r="E54">
            <v>1911.4824629629629</v>
          </cell>
          <cell r="F54">
            <v>1953.5067173840009</v>
          </cell>
          <cell r="G54">
            <v>23442.080608608012</v>
          </cell>
          <cell r="L54">
            <v>1953.5067173840009</v>
          </cell>
          <cell r="M54">
            <v>651.16890579466701</v>
          </cell>
          <cell r="N54">
            <v>7553.5593072181364</v>
          </cell>
          <cell r="O54">
            <v>2083.7404985429343</v>
          </cell>
          <cell r="P54">
            <v>351.63120912912018</v>
          </cell>
          <cell r="Q54">
            <v>4688.4161217216024</v>
          </cell>
          <cell r="R54">
            <v>0</v>
          </cell>
          <cell r="S54">
            <v>17282.02275979046</v>
          </cell>
          <cell r="T54">
            <v>40724.103368398472</v>
          </cell>
          <cell r="U54">
            <v>3393.6752806998725</v>
          </cell>
          <cell r="V54">
            <v>23.608175865738243</v>
          </cell>
        </row>
        <row r="55">
          <cell r="C55" t="str">
            <v>AG.SUPORTE B-I</v>
          </cell>
          <cell r="E55">
            <v>1590.1994937694701</v>
          </cell>
          <cell r="F55">
            <v>1625.1602895921985</v>
          </cell>
          <cell r="G55">
            <v>19501.923475106381</v>
          </cell>
          <cell r="L55">
            <v>1625.1602895921983</v>
          </cell>
          <cell r="M55">
            <v>541.7200965307328</v>
          </cell>
          <cell r="N55">
            <v>6283.9531197564993</v>
          </cell>
          <cell r="O55">
            <v>1733.5043088983448</v>
          </cell>
          <cell r="P55">
            <v>292.52885212659572</v>
          </cell>
          <cell r="Q55">
            <v>3900.3846950212765</v>
          </cell>
          <cell r="R55">
            <v>0</v>
          </cell>
          <cell r="S55">
            <v>14377.25136192565</v>
          </cell>
          <cell r="T55">
            <v>33879.174837032027</v>
          </cell>
          <cell r="U55">
            <v>2823.2645697526691</v>
          </cell>
          <cell r="V55">
            <v>19.640101354801175</v>
          </cell>
        </row>
        <row r="56">
          <cell r="C56" t="str">
            <v>AG.OPERAC. A-I</v>
          </cell>
          <cell r="D56" t="str">
            <v>O5</v>
          </cell>
          <cell r="E56">
            <v>1409.3978961748628</v>
          </cell>
          <cell r="F56">
            <v>1440.3837393185756</v>
          </cell>
          <cell r="G56">
            <v>17284.604871822907</v>
          </cell>
          <cell r="H56">
            <v>0</v>
          </cell>
          <cell r="I56">
            <v>1992</v>
          </cell>
          <cell r="L56">
            <v>1606.3837393185754</v>
          </cell>
          <cell r="M56">
            <v>535.46124643952521</v>
          </cell>
          <cell r="N56">
            <v>6211.3504586984918</v>
          </cell>
          <cell r="O56">
            <v>1713.4759886064805</v>
          </cell>
          <cell r="P56">
            <v>259.26907307734359</v>
          </cell>
          <cell r="Q56">
            <v>3456.9209743645815</v>
          </cell>
          <cell r="R56">
            <v>0</v>
          </cell>
          <cell r="S56">
            <v>15774.861480504998</v>
          </cell>
          <cell r="T56">
            <v>33059.466352327901</v>
          </cell>
          <cell r="U56">
            <v>2754.9555293606586</v>
          </cell>
          <cell r="V56">
            <v>19.164908030335017</v>
          </cell>
        </row>
        <row r="57">
          <cell r="F57">
            <v>0</v>
          </cell>
          <cell r="G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F58">
            <v>0</v>
          </cell>
          <cell r="G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F59">
            <v>0</v>
          </cell>
          <cell r="G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F60">
            <v>0</v>
          </cell>
          <cell r="G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</sheetData>
      <sheetData sheetId="3">
        <row r="11">
          <cell r="B11" t="str">
            <v>EQ1</v>
          </cell>
          <cell r="C11" t="str">
            <v>Quantidade</v>
          </cell>
          <cell r="F11">
            <v>1</v>
          </cell>
          <cell r="K11">
            <v>36.981382756791078</v>
          </cell>
          <cell r="L11">
            <v>0.08</v>
          </cell>
          <cell r="M11">
            <v>2.9585106205432861</v>
          </cell>
          <cell r="N11">
            <v>39.939893377334364</v>
          </cell>
          <cell r="P11">
            <v>1</v>
          </cell>
          <cell r="AD11">
            <v>4.5877525252525251</v>
          </cell>
          <cell r="AT11">
            <v>0</v>
          </cell>
          <cell r="AV11">
            <v>44.52764590258689</v>
          </cell>
        </row>
        <row r="12">
          <cell r="C12" t="str">
            <v>Custo Total (R$/Hora)</v>
          </cell>
          <cell r="D12">
            <v>0</v>
          </cell>
          <cell r="E12">
            <v>0</v>
          </cell>
          <cell r="F12">
            <v>36.981382756791078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O12">
            <v>0</v>
          </cell>
          <cell r="P12">
            <v>4.5877525252525251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B12">
            <v>0</v>
          </cell>
          <cell r="AC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</row>
        <row r="13">
          <cell r="B13" t="str">
            <v>EQ2</v>
          </cell>
          <cell r="C13" t="str">
            <v>Quantidade</v>
          </cell>
          <cell r="G13">
            <v>1</v>
          </cell>
          <cell r="K13">
            <v>35.604079263915573</v>
          </cell>
          <cell r="L13">
            <v>0.08</v>
          </cell>
          <cell r="M13">
            <v>2.8483263411132458</v>
          </cell>
          <cell r="N13">
            <v>38.452405605028815</v>
          </cell>
          <cell r="P13">
            <v>1</v>
          </cell>
          <cell r="AD13">
            <v>4.5877525252525251</v>
          </cell>
          <cell r="AT13">
            <v>0</v>
          </cell>
          <cell r="AV13">
            <v>43.040158130281341</v>
          </cell>
        </row>
        <row r="14">
          <cell r="C14" t="str">
            <v>Custo Total (R$/Hora)</v>
          </cell>
          <cell r="D14">
            <v>0</v>
          </cell>
          <cell r="E14">
            <v>0</v>
          </cell>
          <cell r="F14">
            <v>0</v>
          </cell>
          <cell r="G14">
            <v>35.604079263915573</v>
          </cell>
          <cell r="H14">
            <v>0</v>
          </cell>
          <cell r="I14">
            <v>0</v>
          </cell>
          <cell r="J14">
            <v>0</v>
          </cell>
          <cell r="O14">
            <v>0</v>
          </cell>
          <cell r="P14">
            <v>4.5877525252525251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</row>
        <row r="15">
          <cell r="B15" t="str">
            <v>EQ2_T</v>
          </cell>
          <cell r="C15" t="str">
            <v>Quantidade</v>
          </cell>
          <cell r="G15">
            <v>1</v>
          </cell>
          <cell r="K15">
            <v>44.505099079894464</v>
          </cell>
          <cell r="L15">
            <v>0.08</v>
          </cell>
          <cell r="M15">
            <v>3.5604079263915573</v>
          </cell>
          <cell r="N15">
            <v>48.065507006286019</v>
          </cell>
          <cell r="P15">
            <v>1</v>
          </cell>
          <cell r="AD15">
            <v>4.5877525252525251</v>
          </cell>
          <cell r="AT15">
            <v>0</v>
          </cell>
          <cell r="AV15">
            <v>52.653259531538545</v>
          </cell>
        </row>
        <row r="16">
          <cell r="C16" t="str">
            <v>Custo Total (R$/Hora)</v>
          </cell>
          <cell r="D16">
            <v>0</v>
          </cell>
          <cell r="E16">
            <v>0</v>
          </cell>
          <cell r="F16">
            <v>0</v>
          </cell>
          <cell r="G16">
            <v>44.505099079894464</v>
          </cell>
          <cell r="H16">
            <v>0</v>
          </cell>
          <cell r="I16">
            <v>0</v>
          </cell>
          <cell r="J16">
            <v>0</v>
          </cell>
          <cell r="O16">
            <v>0</v>
          </cell>
          <cell r="P16">
            <v>4.5877525252525251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</row>
        <row r="17">
          <cell r="B17" t="str">
            <v>EQ3</v>
          </cell>
          <cell r="C17" t="str">
            <v>Quantidade</v>
          </cell>
          <cell r="F17">
            <v>2</v>
          </cell>
          <cell r="H17">
            <v>1</v>
          </cell>
          <cell r="K17">
            <v>93.127673543917169</v>
          </cell>
          <cell r="L17">
            <v>0.08</v>
          </cell>
          <cell r="M17">
            <v>7.4502138835133733</v>
          </cell>
          <cell r="N17">
            <v>100.57788742743054</v>
          </cell>
          <cell r="Q17">
            <v>1</v>
          </cell>
          <cell r="AD17">
            <v>5.955303030303031</v>
          </cell>
          <cell r="AT17">
            <v>0</v>
          </cell>
          <cell r="AV17">
            <v>106.53319045773357</v>
          </cell>
        </row>
        <row r="18">
          <cell r="C18" t="str">
            <v>Custo Total (R$/Hora)</v>
          </cell>
          <cell r="D18">
            <v>0</v>
          </cell>
          <cell r="E18">
            <v>0</v>
          </cell>
          <cell r="F18">
            <v>73.962765513582156</v>
          </cell>
          <cell r="G18">
            <v>0</v>
          </cell>
          <cell r="H18">
            <v>19.164908030335017</v>
          </cell>
          <cell r="I18">
            <v>0</v>
          </cell>
          <cell r="J18">
            <v>0</v>
          </cell>
          <cell r="O18">
            <v>0</v>
          </cell>
          <cell r="P18">
            <v>0</v>
          </cell>
          <cell r="Q18">
            <v>5.955303030303031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</row>
        <row r="19">
          <cell r="B19" t="str">
            <v>EQ3_T</v>
          </cell>
          <cell r="C19" t="str">
            <v>Quantidade</v>
          </cell>
          <cell r="F19">
            <v>2</v>
          </cell>
          <cell r="H19">
            <v>1</v>
          </cell>
          <cell r="K19">
            <v>116.40959192989648</v>
          </cell>
          <cell r="L19">
            <v>0.08</v>
          </cell>
          <cell r="M19">
            <v>9.3127673543917187</v>
          </cell>
          <cell r="N19">
            <v>125.7223592842882</v>
          </cell>
          <cell r="Q19">
            <v>1</v>
          </cell>
          <cell r="AD19">
            <v>5.955303030303031</v>
          </cell>
          <cell r="AT19">
            <v>0</v>
          </cell>
          <cell r="AV19">
            <v>131.67766231459123</v>
          </cell>
        </row>
        <row r="20">
          <cell r="C20" t="str">
            <v>Custo Total (R$/Hora)</v>
          </cell>
          <cell r="D20">
            <v>0</v>
          </cell>
          <cell r="E20">
            <v>0</v>
          </cell>
          <cell r="F20">
            <v>92.453456891977709</v>
          </cell>
          <cell r="G20">
            <v>0</v>
          </cell>
          <cell r="H20">
            <v>23.95613503791877</v>
          </cell>
          <cell r="I20">
            <v>0</v>
          </cell>
          <cell r="J20">
            <v>0</v>
          </cell>
          <cell r="O20">
            <v>0</v>
          </cell>
          <cell r="P20">
            <v>0</v>
          </cell>
          <cell r="Q20">
            <v>5.955303030303031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</row>
        <row r="21">
          <cell r="B21" t="str">
            <v>EQ4</v>
          </cell>
          <cell r="C21" t="str">
            <v>Quantidade</v>
          </cell>
          <cell r="G21">
            <v>2</v>
          </cell>
          <cell r="H21">
            <v>1</v>
          </cell>
          <cell r="K21">
            <v>90.373066558166158</v>
          </cell>
          <cell r="L21">
            <v>0.08</v>
          </cell>
          <cell r="M21">
            <v>7.2298453246532928</v>
          </cell>
          <cell r="N21">
            <v>97.602911882819456</v>
          </cell>
          <cell r="Q21">
            <v>1</v>
          </cell>
          <cell r="AD21">
            <v>5.955303030303031</v>
          </cell>
          <cell r="AT21">
            <v>0</v>
          </cell>
          <cell r="AV21">
            <v>103.55821491312248</v>
          </cell>
        </row>
        <row r="22">
          <cell r="C22" t="str">
            <v>Custo Total (R$/Hora)</v>
          </cell>
          <cell r="D22">
            <v>0</v>
          </cell>
          <cell r="E22">
            <v>0</v>
          </cell>
          <cell r="F22">
            <v>0</v>
          </cell>
          <cell r="G22">
            <v>71.208158527831145</v>
          </cell>
          <cell r="H22">
            <v>19.164908030335017</v>
          </cell>
          <cell r="I22">
            <v>0</v>
          </cell>
          <cell r="J22">
            <v>0</v>
          </cell>
          <cell r="O22">
            <v>0</v>
          </cell>
          <cell r="P22">
            <v>0</v>
          </cell>
          <cell r="Q22">
            <v>5.955303030303031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B22">
            <v>0</v>
          </cell>
          <cell r="AC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</row>
        <row r="23">
          <cell r="B23" t="str">
            <v>EQ4_T</v>
          </cell>
          <cell r="C23" t="str">
            <v>Quantidade</v>
          </cell>
          <cell r="G23">
            <v>2</v>
          </cell>
          <cell r="H23">
            <v>1</v>
          </cell>
          <cell r="K23">
            <v>112.9663331977077</v>
          </cell>
          <cell r="L23">
            <v>0.08</v>
          </cell>
          <cell r="M23">
            <v>9.0373066558166162</v>
          </cell>
          <cell r="N23">
            <v>122.00363985352432</v>
          </cell>
          <cell r="Q23">
            <v>1</v>
          </cell>
          <cell r="AD23">
            <v>5.955303030303031</v>
          </cell>
          <cell r="AT23">
            <v>0</v>
          </cell>
          <cell r="AV23">
            <v>127.95894288382735</v>
          </cell>
        </row>
        <row r="24">
          <cell r="C24" t="str">
            <v>Custo Total (R$/Hora)</v>
          </cell>
          <cell r="D24">
            <v>0</v>
          </cell>
          <cell r="E24">
            <v>0</v>
          </cell>
          <cell r="F24">
            <v>0</v>
          </cell>
          <cell r="G24">
            <v>89.010198159788928</v>
          </cell>
          <cell r="H24">
            <v>23.95613503791877</v>
          </cell>
          <cell r="I24">
            <v>0</v>
          </cell>
          <cell r="J24">
            <v>0</v>
          </cell>
          <cell r="O24">
            <v>0</v>
          </cell>
          <cell r="P24">
            <v>0</v>
          </cell>
          <cell r="Q24">
            <v>5.955303030303031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</row>
        <row r="25">
          <cell r="B25" t="str">
            <v>EQ5</v>
          </cell>
          <cell r="C25" t="str">
            <v>Quantidade</v>
          </cell>
          <cell r="F25">
            <v>3</v>
          </cell>
          <cell r="H25">
            <v>1</v>
          </cell>
          <cell r="K25">
            <v>130.10905630070826</v>
          </cell>
          <cell r="L25">
            <v>0.08</v>
          </cell>
          <cell r="M25">
            <v>10.408724504056661</v>
          </cell>
          <cell r="N25">
            <v>140.51778080476493</v>
          </cell>
          <cell r="R25">
            <v>1</v>
          </cell>
          <cell r="AD25">
            <v>6.7662878787878791</v>
          </cell>
          <cell r="AT25">
            <v>0</v>
          </cell>
          <cell r="AV25">
            <v>147.28406868355282</v>
          </cell>
        </row>
        <row r="26">
          <cell r="C26" t="str">
            <v>Custo Total (R$/Hora)</v>
          </cell>
          <cell r="D26">
            <v>0</v>
          </cell>
          <cell r="E26">
            <v>0</v>
          </cell>
          <cell r="F26">
            <v>110.94414827037323</v>
          </cell>
          <cell r="G26">
            <v>0</v>
          </cell>
          <cell r="H26">
            <v>19.164908030335017</v>
          </cell>
          <cell r="I26">
            <v>0</v>
          </cell>
          <cell r="J26">
            <v>0</v>
          </cell>
          <cell r="O26">
            <v>0</v>
          </cell>
          <cell r="P26">
            <v>0</v>
          </cell>
          <cell r="Q26">
            <v>0</v>
          </cell>
          <cell r="R26">
            <v>6.7662878787878791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</row>
        <row r="27">
          <cell r="B27" t="str">
            <v>EQ6</v>
          </cell>
          <cell r="C27" t="str">
            <v>Quantidade</v>
          </cell>
          <cell r="G27">
            <v>3</v>
          </cell>
          <cell r="H27">
            <v>1</v>
          </cell>
          <cell r="K27">
            <v>125.97714582208174</v>
          </cell>
          <cell r="L27">
            <v>0.08</v>
          </cell>
          <cell r="M27">
            <v>10.07817166576654</v>
          </cell>
          <cell r="N27">
            <v>136.05531748784827</v>
          </cell>
          <cell r="R27">
            <v>1</v>
          </cell>
          <cell r="AD27">
            <v>6.7662878787878791</v>
          </cell>
          <cell r="AT27">
            <v>0</v>
          </cell>
          <cell r="AV27">
            <v>142.82160536663616</v>
          </cell>
        </row>
        <row r="28">
          <cell r="C28" t="str">
            <v>Custo Total (R$/Hora)</v>
          </cell>
          <cell r="D28">
            <v>0</v>
          </cell>
          <cell r="E28">
            <v>0</v>
          </cell>
          <cell r="F28">
            <v>0</v>
          </cell>
          <cell r="G28">
            <v>106.81223779174672</v>
          </cell>
          <cell r="H28">
            <v>19.164908030335017</v>
          </cell>
          <cell r="I28">
            <v>0</v>
          </cell>
          <cell r="J28">
            <v>0</v>
          </cell>
          <cell r="O28">
            <v>0</v>
          </cell>
          <cell r="P28">
            <v>0</v>
          </cell>
          <cell r="Q28">
            <v>0</v>
          </cell>
          <cell r="R28">
            <v>6.7662878787878791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AB28">
            <v>0</v>
          </cell>
          <cell r="AC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</row>
        <row r="29">
          <cell r="B29" t="str">
            <v>EQ7</v>
          </cell>
          <cell r="C29" t="str">
            <v>Quantidade</v>
          </cell>
          <cell r="D29">
            <v>1</v>
          </cell>
          <cell r="H29">
            <v>1</v>
          </cell>
          <cell r="K29">
            <v>60.932464904359335</v>
          </cell>
          <cell r="L29">
            <v>0.08</v>
          </cell>
          <cell r="M29">
            <v>4.8745971923487472</v>
          </cell>
          <cell r="N29">
            <v>65.80706209670808</v>
          </cell>
          <cell r="P29">
            <v>1</v>
          </cell>
          <cell r="AD29">
            <v>4.5877525252525251</v>
          </cell>
          <cell r="AF29">
            <v>1</v>
          </cell>
          <cell r="AT29">
            <v>2.6654589371980677</v>
          </cell>
          <cell r="AV29">
            <v>73.060273559158674</v>
          </cell>
        </row>
        <row r="30">
          <cell r="C30" t="str">
            <v>Custo Total (R$/Hora)</v>
          </cell>
          <cell r="D30">
            <v>41.767556874024315</v>
          </cell>
          <cell r="E30">
            <v>0</v>
          </cell>
          <cell r="F30">
            <v>0</v>
          </cell>
          <cell r="G30">
            <v>0</v>
          </cell>
          <cell r="H30">
            <v>19.164908030335017</v>
          </cell>
          <cell r="I30">
            <v>0</v>
          </cell>
          <cell r="J30">
            <v>0</v>
          </cell>
          <cell r="O30">
            <v>0</v>
          </cell>
          <cell r="P30">
            <v>4.5877525252525251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AB30">
            <v>0</v>
          </cell>
          <cell r="AC30">
            <v>0</v>
          </cell>
          <cell r="AE30">
            <v>0</v>
          </cell>
          <cell r="AF30">
            <v>2.6654589371980677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</row>
        <row r="31">
          <cell r="B31" t="str">
            <v>EQ7_T</v>
          </cell>
          <cell r="C31" t="str">
            <v>Quantidade</v>
          </cell>
          <cell r="D31">
            <v>1</v>
          </cell>
          <cell r="H31">
            <v>1</v>
          </cell>
          <cell r="K31">
            <v>76.165581130449169</v>
          </cell>
          <cell r="L31">
            <v>0.08</v>
          </cell>
          <cell r="M31">
            <v>6.0932464904359334</v>
          </cell>
          <cell r="N31">
            <v>82.2588276208851</v>
          </cell>
          <cell r="P31">
            <v>1</v>
          </cell>
          <cell r="AD31">
            <v>4.5877525252525251</v>
          </cell>
          <cell r="AF31">
            <v>1</v>
          </cell>
          <cell r="AT31">
            <v>2.6654589371980677</v>
          </cell>
          <cell r="AV31">
            <v>89.512039083335694</v>
          </cell>
        </row>
        <row r="32">
          <cell r="C32" t="str">
            <v>Custo Total (R$/Hora)</v>
          </cell>
          <cell r="D32">
            <v>52.209446092530392</v>
          </cell>
          <cell r="E32">
            <v>0</v>
          </cell>
          <cell r="F32">
            <v>0</v>
          </cell>
          <cell r="G32">
            <v>0</v>
          </cell>
          <cell r="H32">
            <v>23.95613503791877</v>
          </cell>
          <cell r="I32">
            <v>0</v>
          </cell>
          <cell r="J32">
            <v>0</v>
          </cell>
          <cell r="O32">
            <v>0</v>
          </cell>
          <cell r="P32">
            <v>4.5877525252525251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E32">
            <v>0</v>
          </cell>
          <cell r="AF32">
            <v>2.6654589371980677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</row>
        <row r="33">
          <cell r="B33" t="str">
            <v>EQ8</v>
          </cell>
          <cell r="C33" t="str">
            <v>Quantidade</v>
          </cell>
          <cell r="E33">
            <v>1</v>
          </cell>
          <cell r="H33">
            <v>1</v>
          </cell>
          <cell r="K33">
            <v>60.932464904359335</v>
          </cell>
          <cell r="L33">
            <v>0.08</v>
          </cell>
          <cell r="M33">
            <v>4.8745971923487472</v>
          </cell>
          <cell r="N33">
            <v>65.80706209670808</v>
          </cell>
          <cell r="P33">
            <v>1</v>
          </cell>
          <cell r="AD33">
            <v>4.5877525252525251</v>
          </cell>
          <cell r="AF33">
            <v>1</v>
          </cell>
          <cell r="AT33">
            <v>2.6654589371980677</v>
          </cell>
          <cell r="AV33">
            <v>73.060273559158674</v>
          </cell>
        </row>
        <row r="34">
          <cell r="C34" t="str">
            <v>Custo Total (R$/Hora)</v>
          </cell>
          <cell r="D34">
            <v>0</v>
          </cell>
          <cell r="E34">
            <v>41.767556874024315</v>
          </cell>
          <cell r="F34">
            <v>0</v>
          </cell>
          <cell r="G34">
            <v>0</v>
          </cell>
          <cell r="H34">
            <v>19.164908030335017</v>
          </cell>
          <cell r="I34">
            <v>0</v>
          </cell>
          <cell r="J34">
            <v>0</v>
          </cell>
          <cell r="O34">
            <v>0</v>
          </cell>
          <cell r="P34">
            <v>4.5877525252525251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AB34">
            <v>0</v>
          </cell>
          <cell r="AC34">
            <v>0</v>
          </cell>
          <cell r="AE34">
            <v>0</v>
          </cell>
          <cell r="AF34">
            <v>2.6654589371980677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</row>
        <row r="35">
          <cell r="B35" t="str">
            <v>EQ8_T</v>
          </cell>
          <cell r="C35" t="str">
            <v>Quantidade</v>
          </cell>
          <cell r="E35">
            <v>1</v>
          </cell>
          <cell r="H35">
            <v>1</v>
          </cell>
          <cell r="K35">
            <v>76.165581130449169</v>
          </cell>
          <cell r="L35">
            <v>0.08</v>
          </cell>
          <cell r="M35">
            <v>6.0932464904359334</v>
          </cell>
          <cell r="N35">
            <v>82.2588276208851</v>
          </cell>
          <cell r="P35">
            <v>1</v>
          </cell>
          <cell r="AD35">
            <v>4.5877525252525251</v>
          </cell>
          <cell r="AF35">
            <v>1</v>
          </cell>
          <cell r="AT35">
            <v>2.6654589371980677</v>
          </cell>
          <cell r="AV35">
            <v>89.512039083335694</v>
          </cell>
        </row>
        <row r="36">
          <cell r="C36" t="str">
            <v>Custo Total (R$/Hora)</v>
          </cell>
          <cell r="D36">
            <v>0</v>
          </cell>
          <cell r="E36">
            <v>52.209446092530392</v>
          </cell>
          <cell r="F36">
            <v>0</v>
          </cell>
          <cell r="G36">
            <v>0</v>
          </cell>
          <cell r="H36">
            <v>23.95613503791877</v>
          </cell>
          <cell r="I36">
            <v>0</v>
          </cell>
          <cell r="J36">
            <v>0</v>
          </cell>
          <cell r="O36">
            <v>0</v>
          </cell>
          <cell r="P36">
            <v>4.5877525252525251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E36">
            <v>0</v>
          </cell>
          <cell r="AF36">
            <v>2.6654589371980677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</row>
        <row r="37">
          <cell r="B37" t="str">
            <v>EQ9</v>
          </cell>
          <cell r="C37" t="str">
            <v>Quantidade</v>
          </cell>
          <cell r="D37">
            <v>1</v>
          </cell>
          <cell r="H37">
            <v>1</v>
          </cell>
          <cell r="K37">
            <v>60.932464904359335</v>
          </cell>
          <cell r="L37">
            <v>0.08</v>
          </cell>
          <cell r="M37">
            <v>4.8745971923487472</v>
          </cell>
          <cell r="N37">
            <v>65.80706209670808</v>
          </cell>
          <cell r="Q37">
            <v>1</v>
          </cell>
          <cell r="AD37">
            <v>5.955303030303031</v>
          </cell>
          <cell r="AT37">
            <v>0</v>
          </cell>
          <cell r="AV37">
            <v>71.762365127011108</v>
          </cell>
        </row>
        <row r="38">
          <cell r="C38" t="str">
            <v>Custo Total (R$/Hora)</v>
          </cell>
          <cell r="D38">
            <v>41.767556874024315</v>
          </cell>
          <cell r="E38">
            <v>0</v>
          </cell>
          <cell r="F38">
            <v>0</v>
          </cell>
          <cell r="G38">
            <v>0</v>
          </cell>
          <cell r="H38">
            <v>19.164908030335017</v>
          </cell>
          <cell r="I38">
            <v>0</v>
          </cell>
          <cell r="J38">
            <v>0</v>
          </cell>
          <cell r="O38">
            <v>0</v>
          </cell>
          <cell r="P38">
            <v>0</v>
          </cell>
          <cell r="Q38">
            <v>5.955303030303031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</row>
        <row r="39">
          <cell r="B39" t="str">
            <v>EQ10</v>
          </cell>
          <cell r="C39" t="str">
            <v>Quantidade</v>
          </cell>
          <cell r="E39">
            <v>1</v>
          </cell>
          <cell r="H39">
            <v>1</v>
          </cell>
          <cell r="K39">
            <v>60.932464904359335</v>
          </cell>
          <cell r="L39">
            <v>0.08</v>
          </cell>
          <cell r="M39">
            <v>4.8745971923487472</v>
          </cell>
          <cell r="N39">
            <v>65.80706209670808</v>
          </cell>
          <cell r="Q39">
            <v>1</v>
          </cell>
          <cell r="AD39">
            <v>5.955303030303031</v>
          </cell>
          <cell r="AT39">
            <v>0</v>
          </cell>
          <cell r="AV39">
            <v>71.762365127011108</v>
          </cell>
        </row>
        <row r="40">
          <cell r="C40" t="str">
            <v>Custo Total (R$/Hora)</v>
          </cell>
          <cell r="D40">
            <v>0</v>
          </cell>
          <cell r="E40">
            <v>41.767556874024315</v>
          </cell>
          <cell r="F40">
            <v>0</v>
          </cell>
          <cell r="G40">
            <v>0</v>
          </cell>
          <cell r="H40">
            <v>19.164908030335017</v>
          </cell>
          <cell r="I40">
            <v>0</v>
          </cell>
          <cell r="J40">
            <v>0</v>
          </cell>
          <cell r="O40">
            <v>0</v>
          </cell>
          <cell r="P40">
            <v>0</v>
          </cell>
          <cell r="Q40">
            <v>5.955303030303031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AB40">
            <v>0</v>
          </cell>
          <cell r="AC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</row>
        <row r="41">
          <cell r="B41" t="str">
            <v>EQ11</v>
          </cell>
          <cell r="C41" t="str">
            <v>Quantidade</v>
          </cell>
          <cell r="D41">
            <v>1</v>
          </cell>
          <cell r="F41">
            <v>1</v>
          </cell>
          <cell r="H41">
            <v>1</v>
          </cell>
          <cell r="K41">
            <v>97.913847661150399</v>
          </cell>
          <cell r="L41">
            <v>0.08</v>
          </cell>
          <cell r="M41">
            <v>7.833107812892032</v>
          </cell>
          <cell r="N41">
            <v>105.74695547404244</v>
          </cell>
          <cell r="AD41">
            <v>0</v>
          </cell>
          <cell r="AT41">
            <v>0</v>
          </cell>
          <cell r="AV41">
            <v>105.74695547404244</v>
          </cell>
        </row>
        <row r="42">
          <cell r="C42" t="str">
            <v>Custo Total (R$/Hora)</v>
          </cell>
          <cell r="D42">
            <v>41.767556874024315</v>
          </cell>
          <cell r="E42">
            <v>0</v>
          </cell>
          <cell r="F42">
            <v>36.981382756791078</v>
          </cell>
          <cell r="G42">
            <v>0</v>
          </cell>
          <cell r="H42">
            <v>19.164908030335017</v>
          </cell>
          <cell r="I42">
            <v>0</v>
          </cell>
          <cell r="J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AB42">
            <v>0</v>
          </cell>
          <cell r="AC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</row>
        <row r="43">
          <cell r="B43" t="str">
            <v>EQ12</v>
          </cell>
          <cell r="C43" t="str">
            <v>Quantidade</v>
          </cell>
          <cell r="E43">
            <v>1</v>
          </cell>
          <cell r="G43">
            <v>1</v>
          </cell>
          <cell r="H43">
            <v>1</v>
          </cell>
          <cell r="K43">
            <v>96.536544168274901</v>
          </cell>
          <cell r="L43">
            <v>0.08</v>
          </cell>
          <cell r="M43">
            <v>7.7229235334619926</v>
          </cell>
          <cell r="N43">
            <v>104.2594677017369</v>
          </cell>
          <cell r="AD43">
            <v>0</v>
          </cell>
          <cell r="AT43">
            <v>0</v>
          </cell>
          <cell r="AV43">
            <v>104.2594677017369</v>
          </cell>
        </row>
        <row r="44">
          <cell r="C44" t="str">
            <v>Custo Total (R$/Hora)</v>
          </cell>
          <cell r="D44">
            <v>0</v>
          </cell>
          <cell r="E44">
            <v>41.767556874024315</v>
          </cell>
          <cell r="F44">
            <v>0</v>
          </cell>
          <cell r="G44">
            <v>35.604079263915573</v>
          </cell>
          <cell r="H44">
            <v>19.164908030335017</v>
          </cell>
          <cell r="I44">
            <v>0</v>
          </cell>
          <cell r="J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B44">
            <v>0</v>
          </cell>
          <cell r="AC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</row>
        <row r="45">
          <cell r="B45" t="str">
            <v>EQ13</v>
          </cell>
          <cell r="C45" t="str">
            <v>Quantidade</v>
          </cell>
          <cell r="D45">
            <v>2</v>
          </cell>
          <cell r="F45">
            <v>4</v>
          </cell>
          <cell r="H45">
            <v>2</v>
          </cell>
          <cell r="K45">
            <v>269.79046083588298</v>
          </cell>
          <cell r="L45">
            <v>0.08</v>
          </cell>
          <cell r="M45">
            <v>21.583236866870639</v>
          </cell>
          <cell r="N45">
            <v>291.37369770275365</v>
          </cell>
          <cell r="P45">
            <v>2</v>
          </cell>
          <cell r="T45">
            <v>1</v>
          </cell>
          <cell r="AD45">
            <v>30.660353535353536</v>
          </cell>
          <cell r="AI45">
            <v>1</v>
          </cell>
          <cell r="AJ45">
            <v>1</v>
          </cell>
          <cell r="AK45">
            <v>1</v>
          </cell>
          <cell r="AN45">
            <v>1</v>
          </cell>
          <cell r="AO45">
            <v>1</v>
          </cell>
          <cell r="AT45">
            <v>106.31546442687747</v>
          </cell>
          <cell r="AV45">
            <v>428.34951566498466</v>
          </cell>
        </row>
        <row r="46">
          <cell r="C46" t="str">
            <v>Custo Total (R$/Hora)</v>
          </cell>
          <cell r="D46">
            <v>83.53511374804863</v>
          </cell>
          <cell r="E46">
            <v>0</v>
          </cell>
          <cell r="F46">
            <v>147.92553102716431</v>
          </cell>
          <cell r="G46">
            <v>0</v>
          </cell>
          <cell r="H46">
            <v>38.329816060670034</v>
          </cell>
          <cell r="I46">
            <v>0</v>
          </cell>
          <cell r="J46">
            <v>0</v>
          </cell>
          <cell r="O46">
            <v>0</v>
          </cell>
          <cell r="P46">
            <v>9.1755050505050502</v>
          </cell>
          <cell r="Q46">
            <v>0</v>
          </cell>
          <cell r="R46">
            <v>0</v>
          </cell>
          <cell r="S46">
            <v>0</v>
          </cell>
          <cell r="T46">
            <v>21.484848484848484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B46">
            <v>0</v>
          </cell>
          <cell r="AC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51.491820377689947</v>
          </cell>
          <cell r="AJ46">
            <v>9.9954710144927539</v>
          </cell>
          <cell r="AK46">
            <v>19.990942028985508</v>
          </cell>
          <cell r="AL46">
            <v>0</v>
          </cell>
          <cell r="AM46">
            <v>0</v>
          </cell>
          <cell r="AN46">
            <v>18.779369784804569</v>
          </cell>
          <cell r="AO46">
            <v>6.0578612209046998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</row>
        <row r="47">
          <cell r="B47" t="str">
            <v>EQ13_T</v>
          </cell>
          <cell r="C47" t="str">
            <v>Quantidade</v>
          </cell>
          <cell r="D47">
            <v>2</v>
          </cell>
          <cell r="F47">
            <v>4</v>
          </cell>
          <cell r="H47">
            <v>2</v>
          </cell>
          <cell r="K47">
            <v>337.23807604485376</v>
          </cell>
          <cell r="L47">
            <v>0.08</v>
          </cell>
          <cell r="M47">
            <v>26.979046083588301</v>
          </cell>
          <cell r="N47">
            <v>364.21712212844204</v>
          </cell>
          <cell r="P47">
            <v>2</v>
          </cell>
          <cell r="T47">
            <v>1</v>
          </cell>
          <cell r="AD47">
            <v>30.660353535353536</v>
          </cell>
          <cell r="AI47">
            <v>1</v>
          </cell>
          <cell r="AJ47">
            <v>1</v>
          </cell>
          <cell r="AK47">
            <v>1</v>
          </cell>
          <cell r="AN47">
            <v>1</v>
          </cell>
          <cell r="AO47">
            <v>1</v>
          </cell>
          <cell r="AT47">
            <v>106.31546442687747</v>
          </cell>
          <cell r="AV47">
            <v>501.19294009067301</v>
          </cell>
        </row>
        <row r="48">
          <cell r="C48" t="str">
            <v>Custo Total (R$/Hora)</v>
          </cell>
          <cell r="D48">
            <v>104.41889218506078</v>
          </cell>
          <cell r="E48">
            <v>0</v>
          </cell>
          <cell r="F48">
            <v>184.90691378395542</v>
          </cell>
          <cell r="G48">
            <v>0</v>
          </cell>
          <cell r="H48">
            <v>47.91227007583754</v>
          </cell>
          <cell r="I48">
            <v>0</v>
          </cell>
          <cell r="J48">
            <v>0</v>
          </cell>
          <cell r="O48">
            <v>0</v>
          </cell>
          <cell r="P48">
            <v>9.1755050505050502</v>
          </cell>
          <cell r="Q48">
            <v>0</v>
          </cell>
          <cell r="R48">
            <v>0</v>
          </cell>
          <cell r="S48">
            <v>0</v>
          </cell>
          <cell r="T48">
            <v>21.484848484848484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51.491820377689947</v>
          </cell>
          <cell r="AJ48">
            <v>9.9954710144927539</v>
          </cell>
          <cell r="AK48">
            <v>19.990942028985508</v>
          </cell>
          <cell r="AL48">
            <v>0</v>
          </cell>
          <cell r="AM48">
            <v>0</v>
          </cell>
          <cell r="AN48">
            <v>18.779369784804569</v>
          </cell>
          <cell r="AO48">
            <v>6.0578612209046998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</row>
        <row r="49">
          <cell r="B49" t="str">
            <v>EQ14</v>
          </cell>
          <cell r="C49" t="str">
            <v>Quantidade</v>
          </cell>
          <cell r="E49">
            <v>2</v>
          </cell>
          <cell r="G49">
            <v>4</v>
          </cell>
          <cell r="H49">
            <v>2</v>
          </cell>
          <cell r="K49">
            <v>264.28124686438099</v>
          </cell>
          <cell r="L49">
            <v>0.08</v>
          </cell>
          <cell r="M49">
            <v>21.142499749150481</v>
          </cell>
          <cell r="N49">
            <v>285.42374661353148</v>
          </cell>
          <cell r="P49">
            <v>2</v>
          </cell>
          <cell r="T49">
            <v>1</v>
          </cell>
          <cell r="AD49">
            <v>30.660353535353536</v>
          </cell>
          <cell r="AI49">
            <v>1</v>
          </cell>
          <cell r="AJ49">
            <v>1</v>
          </cell>
          <cell r="AK49">
            <v>1</v>
          </cell>
          <cell r="AN49">
            <v>1</v>
          </cell>
          <cell r="AO49">
            <v>1</v>
          </cell>
          <cell r="AT49">
            <v>106.31546442687747</v>
          </cell>
          <cell r="AV49">
            <v>422.3995645757625</v>
          </cell>
        </row>
        <row r="50">
          <cell r="C50" t="str">
            <v>Custo Total (R$/Hora)</v>
          </cell>
          <cell r="D50">
            <v>0</v>
          </cell>
          <cell r="E50">
            <v>83.53511374804863</v>
          </cell>
          <cell r="F50">
            <v>0</v>
          </cell>
          <cell r="G50">
            <v>142.41631705566229</v>
          </cell>
          <cell r="H50">
            <v>38.329816060670034</v>
          </cell>
          <cell r="I50">
            <v>0</v>
          </cell>
          <cell r="J50">
            <v>0</v>
          </cell>
          <cell r="O50">
            <v>0</v>
          </cell>
          <cell r="P50">
            <v>9.1755050505050502</v>
          </cell>
          <cell r="Q50">
            <v>0</v>
          </cell>
          <cell r="R50">
            <v>0</v>
          </cell>
          <cell r="S50">
            <v>0</v>
          </cell>
          <cell r="T50">
            <v>21.484848484848484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AB50">
            <v>0</v>
          </cell>
          <cell r="AC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51.491820377689947</v>
          </cell>
          <cell r="AJ50">
            <v>9.9954710144927539</v>
          </cell>
          <cell r="AK50">
            <v>19.990942028985508</v>
          </cell>
          <cell r="AL50">
            <v>0</v>
          </cell>
          <cell r="AM50">
            <v>0</v>
          </cell>
          <cell r="AN50">
            <v>18.779369784804569</v>
          </cell>
          <cell r="AO50">
            <v>6.0578612209046998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</row>
        <row r="51">
          <cell r="B51" t="str">
            <v>EQ14_T</v>
          </cell>
          <cell r="C51" t="str">
            <v>Quantidade</v>
          </cell>
          <cell r="E51">
            <v>2</v>
          </cell>
          <cell r="G51">
            <v>4</v>
          </cell>
          <cell r="H51">
            <v>2</v>
          </cell>
          <cell r="K51">
            <v>330.35155858047619</v>
          </cell>
          <cell r="L51">
            <v>0.08</v>
          </cell>
          <cell r="M51">
            <v>26.428124686438096</v>
          </cell>
          <cell r="N51">
            <v>356.77968326691428</v>
          </cell>
          <cell r="P51">
            <v>2</v>
          </cell>
          <cell r="T51">
            <v>1</v>
          </cell>
          <cell r="AD51">
            <v>30.660353535353536</v>
          </cell>
          <cell r="AI51">
            <v>1</v>
          </cell>
          <cell r="AJ51">
            <v>1</v>
          </cell>
          <cell r="AK51">
            <v>1</v>
          </cell>
          <cell r="AN51">
            <v>1</v>
          </cell>
          <cell r="AO51">
            <v>1</v>
          </cell>
          <cell r="AT51">
            <v>106.31546442687747</v>
          </cell>
          <cell r="AV51">
            <v>493.75550122914524</v>
          </cell>
        </row>
        <row r="52">
          <cell r="C52" t="str">
            <v>Custo Total (R$/Hora)</v>
          </cell>
          <cell r="D52">
            <v>0</v>
          </cell>
          <cell r="E52">
            <v>104.41889218506078</v>
          </cell>
          <cell r="F52">
            <v>0</v>
          </cell>
          <cell r="G52">
            <v>178.02039631957786</v>
          </cell>
          <cell r="H52">
            <v>47.91227007583754</v>
          </cell>
          <cell r="I52">
            <v>0</v>
          </cell>
          <cell r="J52">
            <v>0</v>
          </cell>
          <cell r="O52">
            <v>0</v>
          </cell>
          <cell r="P52">
            <v>9.1755050505050502</v>
          </cell>
          <cell r="Q52">
            <v>0</v>
          </cell>
          <cell r="R52">
            <v>0</v>
          </cell>
          <cell r="S52">
            <v>0</v>
          </cell>
          <cell r="T52">
            <v>21.484848484848484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51.491820377689947</v>
          </cell>
          <cell r="AJ52">
            <v>9.9954710144927539</v>
          </cell>
          <cell r="AK52">
            <v>19.990942028985508</v>
          </cell>
          <cell r="AL52">
            <v>0</v>
          </cell>
          <cell r="AM52">
            <v>0</v>
          </cell>
          <cell r="AN52">
            <v>18.779369784804569</v>
          </cell>
          <cell r="AO52">
            <v>6.0578612209046998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</row>
        <row r="53">
          <cell r="B53" t="str">
            <v>EQ15</v>
          </cell>
          <cell r="C53" t="str">
            <v>Quantidade</v>
          </cell>
          <cell r="F53">
            <v>1</v>
          </cell>
          <cell r="H53">
            <v>1</v>
          </cell>
          <cell r="K53">
            <v>56.146290787126091</v>
          </cell>
          <cell r="L53">
            <v>0.08</v>
          </cell>
          <cell r="M53">
            <v>4.4917032629700877</v>
          </cell>
          <cell r="N53">
            <v>60.637994050096182</v>
          </cell>
          <cell r="R53">
            <v>1</v>
          </cell>
          <cell r="W53">
            <v>1</v>
          </cell>
          <cell r="AD53">
            <v>7.7760555555555557</v>
          </cell>
          <cell r="AT53">
            <v>0</v>
          </cell>
          <cell r="AV53">
            <v>68.414049605651741</v>
          </cell>
        </row>
        <row r="54">
          <cell r="C54" t="str">
            <v>Custo Total (R$/Hora)</v>
          </cell>
          <cell r="D54">
            <v>0</v>
          </cell>
          <cell r="E54">
            <v>0</v>
          </cell>
          <cell r="F54">
            <v>36.981382756791078</v>
          </cell>
          <cell r="G54">
            <v>0</v>
          </cell>
          <cell r="H54">
            <v>19.164908030335017</v>
          </cell>
          <cell r="I54">
            <v>0</v>
          </cell>
          <cell r="J54">
            <v>0</v>
          </cell>
          <cell r="O54">
            <v>0</v>
          </cell>
          <cell r="P54">
            <v>0</v>
          </cell>
          <cell r="Q54">
            <v>0</v>
          </cell>
          <cell r="R54">
            <v>6.7662878787878791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1.0097676767676769</v>
          </cell>
          <cell r="X54">
            <v>0</v>
          </cell>
          <cell r="Y54">
            <v>0</v>
          </cell>
          <cell r="AB54">
            <v>0</v>
          </cell>
          <cell r="AC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</row>
        <row r="55">
          <cell r="B55" t="str">
            <v>EQ16</v>
          </cell>
          <cell r="C55" t="str">
            <v>Quantidade</v>
          </cell>
          <cell r="G55">
            <v>1</v>
          </cell>
          <cell r="H55">
            <v>1</v>
          </cell>
          <cell r="K55">
            <v>54.768987294250593</v>
          </cell>
          <cell r="L55">
            <v>0.08</v>
          </cell>
          <cell r="M55">
            <v>4.3815189835400474</v>
          </cell>
          <cell r="N55">
            <v>59.15050627779064</v>
          </cell>
          <cell r="R55">
            <v>1</v>
          </cell>
          <cell r="W55">
            <v>1</v>
          </cell>
          <cell r="AD55">
            <v>7.7760555555555557</v>
          </cell>
          <cell r="AT55">
            <v>0</v>
          </cell>
          <cell r="AV55">
            <v>66.926561833346199</v>
          </cell>
        </row>
        <row r="56">
          <cell r="C56" t="str">
            <v>Custo Total (R$/Hora)</v>
          </cell>
          <cell r="D56">
            <v>0</v>
          </cell>
          <cell r="E56">
            <v>0</v>
          </cell>
          <cell r="F56">
            <v>0</v>
          </cell>
          <cell r="G56">
            <v>35.604079263915573</v>
          </cell>
          <cell r="H56">
            <v>19.164908030335017</v>
          </cell>
          <cell r="I56">
            <v>0</v>
          </cell>
          <cell r="J56">
            <v>0</v>
          </cell>
          <cell r="O56">
            <v>0</v>
          </cell>
          <cell r="P56">
            <v>0</v>
          </cell>
          <cell r="Q56">
            <v>0</v>
          </cell>
          <cell r="R56">
            <v>6.7662878787878791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1.0097676767676769</v>
          </cell>
          <cell r="X56">
            <v>0</v>
          </cell>
          <cell r="Y56">
            <v>0</v>
          </cell>
          <cell r="AB56">
            <v>0</v>
          </cell>
          <cell r="AC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</row>
        <row r="57">
          <cell r="B57" t="str">
            <v>EQ17</v>
          </cell>
          <cell r="C57" t="str">
            <v>Quantidade</v>
          </cell>
          <cell r="F57">
            <v>2</v>
          </cell>
          <cell r="H57">
            <v>1</v>
          </cell>
          <cell r="K57">
            <v>93.127673543917169</v>
          </cell>
          <cell r="L57">
            <v>0.08</v>
          </cell>
          <cell r="M57">
            <v>7.4502138835133733</v>
          </cell>
          <cell r="N57">
            <v>100.57788742743054</v>
          </cell>
          <cell r="Q57">
            <v>1</v>
          </cell>
          <cell r="AD57">
            <v>5.955303030303031</v>
          </cell>
          <cell r="AG57">
            <v>1</v>
          </cell>
          <cell r="AT57">
            <v>24.231444883618799</v>
          </cell>
          <cell r="AV57">
            <v>130.76463534135237</v>
          </cell>
        </row>
        <row r="58">
          <cell r="C58" t="str">
            <v>Custo Total (R$/Hora)</v>
          </cell>
          <cell r="D58">
            <v>0</v>
          </cell>
          <cell r="E58">
            <v>0</v>
          </cell>
          <cell r="F58">
            <v>73.962765513582156</v>
          </cell>
          <cell r="G58">
            <v>0</v>
          </cell>
          <cell r="H58">
            <v>19.164908030335017</v>
          </cell>
          <cell r="I58">
            <v>0</v>
          </cell>
          <cell r="J58">
            <v>0</v>
          </cell>
          <cell r="O58">
            <v>0</v>
          </cell>
          <cell r="P58">
            <v>0</v>
          </cell>
          <cell r="Q58">
            <v>5.955303030303031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AB58">
            <v>0</v>
          </cell>
          <cell r="AC58">
            <v>0</v>
          </cell>
          <cell r="AE58">
            <v>0</v>
          </cell>
          <cell r="AF58">
            <v>0</v>
          </cell>
          <cell r="AG58">
            <v>24.231444883618799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59">
          <cell r="B59" t="str">
            <v>EQ17_T</v>
          </cell>
          <cell r="C59" t="str">
            <v>Quantidade</v>
          </cell>
          <cell r="F59">
            <v>2</v>
          </cell>
          <cell r="H59">
            <v>1</v>
          </cell>
          <cell r="K59">
            <v>116.40959192989648</v>
          </cell>
          <cell r="L59">
            <v>0.08</v>
          </cell>
          <cell r="M59">
            <v>9.3127673543917187</v>
          </cell>
          <cell r="N59">
            <v>125.7223592842882</v>
          </cell>
          <cell r="Q59">
            <v>1</v>
          </cell>
          <cell r="AD59">
            <v>5.955303030303031</v>
          </cell>
          <cell r="AG59">
            <v>1</v>
          </cell>
          <cell r="AT59">
            <v>24.231444883618799</v>
          </cell>
          <cell r="AV59">
            <v>155.90910719821002</v>
          </cell>
        </row>
        <row r="60">
          <cell r="C60" t="str">
            <v>Custo Total (R$/Hora)</v>
          </cell>
          <cell r="D60">
            <v>0</v>
          </cell>
          <cell r="E60">
            <v>0</v>
          </cell>
          <cell r="F60">
            <v>92.453456891977709</v>
          </cell>
          <cell r="G60">
            <v>0</v>
          </cell>
          <cell r="H60">
            <v>23.95613503791877</v>
          </cell>
          <cell r="I60">
            <v>0</v>
          </cell>
          <cell r="J60">
            <v>0</v>
          </cell>
          <cell r="O60">
            <v>0</v>
          </cell>
          <cell r="P60">
            <v>0</v>
          </cell>
          <cell r="Q60">
            <v>5.955303030303031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E60">
            <v>0</v>
          </cell>
          <cell r="AF60">
            <v>0</v>
          </cell>
          <cell r="AG60">
            <v>24.231444883618799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</row>
        <row r="61">
          <cell r="B61" t="str">
            <v>EQ18</v>
          </cell>
          <cell r="C61" t="str">
            <v>Quantidade</v>
          </cell>
          <cell r="G61">
            <v>1</v>
          </cell>
          <cell r="H61">
            <v>1</v>
          </cell>
          <cell r="K61">
            <v>54.768987294250593</v>
          </cell>
          <cell r="L61">
            <v>0.08</v>
          </cell>
          <cell r="M61">
            <v>4.3815189835400474</v>
          </cell>
          <cell r="N61">
            <v>59.15050627779064</v>
          </cell>
          <cell r="S61">
            <v>1</v>
          </cell>
          <cell r="AD61">
            <v>12.267676767676768</v>
          </cell>
          <cell r="AT61">
            <v>0</v>
          </cell>
          <cell r="AV61">
            <v>71.418183045467401</v>
          </cell>
        </row>
        <row r="62">
          <cell r="C62" t="str">
            <v>Custo Total (R$/Hora)</v>
          </cell>
          <cell r="D62">
            <v>0</v>
          </cell>
          <cell r="E62">
            <v>0</v>
          </cell>
          <cell r="F62">
            <v>0</v>
          </cell>
          <cell r="G62">
            <v>35.604079263915573</v>
          </cell>
          <cell r="H62">
            <v>19.164908030335017</v>
          </cell>
          <cell r="I62">
            <v>0</v>
          </cell>
          <cell r="J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12.267676767676768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AB62">
            <v>0</v>
          </cell>
          <cell r="AC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</row>
        <row r="63">
          <cell r="B63" t="str">
            <v>EQ19</v>
          </cell>
          <cell r="C63" t="str">
            <v>Quantidade</v>
          </cell>
          <cell r="G63">
            <v>1</v>
          </cell>
          <cell r="H63">
            <v>1</v>
          </cell>
          <cell r="K63">
            <v>54.768987294250593</v>
          </cell>
          <cell r="L63">
            <v>0.08</v>
          </cell>
          <cell r="M63">
            <v>4.3815189835400474</v>
          </cell>
          <cell r="N63">
            <v>59.15050627779064</v>
          </cell>
          <cell r="AD63">
            <v>0</v>
          </cell>
          <cell r="AP63">
            <v>1</v>
          </cell>
          <cell r="AQ63">
            <v>1</v>
          </cell>
          <cell r="AT63">
            <v>29.683519982433026</v>
          </cell>
          <cell r="AV63">
            <v>88.834026260223666</v>
          </cell>
        </row>
        <row r="64">
          <cell r="C64" t="str">
            <v>Custo Total (R$/Hora)</v>
          </cell>
          <cell r="D64">
            <v>0</v>
          </cell>
          <cell r="E64">
            <v>0</v>
          </cell>
          <cell r="F64">
            <v>0</v>
          </cell>
          <cell r="G64">
            <v>35.604079263915573</v>
          </cell>
          <cell r="H64">
            <v>19.164908030335017</v>
          </cell>
          <cell r="I64">
            <v>0</v>
          </cell>
          <cell r="J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AB64">
            <v>0</v>
          </cell>
          <cell r="AC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18.173583662714098</v>
          </cell>
          <cell r="AQ64">
            <v>11.509936319718928</v>
          </cell>
          <cell r="AR64">
            <v>0</v>
          </cell>
          <cell r="AS64">
            <v>0</v>
          </cell>
        </row>
        <row r="65">
          <cell r="B65" t="str">
            <v>EQ19_T</v>
          </cell>
          <cell r="C65" t="str">
            <v>Quantidade</v>
          </cell>
          <cell r="G65">
            <v>1</v>
          </cell>
          <cell r="H65">
            <v>1</v>
          </cell>
          <cell r="K65">
            <v>68.461234117813234</v>
          </cell>
          <cell r="L65">
            <v>0.08</v>
          </cell>
          <cell r="M65">
            <v>5.4768987294250584</v>
          </cell>
          <cell r="N65">
            <v>73.938132847238293</v>
          </cell>
          <cell r="AD65">
            <v>0</v>
          </cell>
          <cell r="AP65">
            <v>1</v>
          </cell>
          <cell r="AQ65">
            <v>1</v>
          </cell>
          <cell r="AT65">
            <v>29.683519982433026</v>
          </cell>
          <cell r="AV65">
            <v>103.62165282967132</v>
          </cell>
        </row>
        <row r="66">
          <cell r="C66" t="str">
            <v>Custo Total (R$/Hora)</v>
          </cell>
          <cell r="D66">
            <v>0</v>
          </cell>
          <cell r="E66">
            <v>0</v>
          </cell>
          <cell r="F66">
            <v>0</v>
          </cell>
          <cell r="G66">
            <v>44.505099079894464</v>
          </cell>
          <cell r="H66">
            <v>23.95613503791877</v>
          </cell>
          <cell r="I66">
            <v>0</v>
          </cell>
          <cell r="J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18.173583662714098</v>
          </cell>
          <cell r="AQ66">
            <v>11.509936319718928</v>
          </cell>
          <cell r="AR66">
            <v>0</v>
          </cell>
          <cell r="AS66">
            <v>0</v>
          </cell>
        </row>
        <row r="67">
          <cell r="B67" t="str">
            <v>EQ20</v>
          </cell>
          <cell r="C67" t="str">
            <v>Quantidade</v>
          </cell>
          <cell r="K67">
            <v>0</v>
          </cell>
          <cell r="L67">
            <v>0.08</v>
          </cell>
          <cell r="M67">
            <v>0</v>
          </cell>
          <cell r="N67">
            <v>0</v>
          </cell>
          <cell r="AD67">
            <v>0</v>
          </cell>
          <cell r="AT67">
            <v>0</v>
          </cell>
          <cell r="AV67">
            <v>0</v>
          </cell>
        </row>
        <row r="68">
          <cell r="C68" t="str">
            <v>Custo Total (R$/Hora)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AB68">
            <v>0</v>
          </cell>
          <cell r="AC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</row>
        <row r="69">
          <cell r="B69" t="str">
            <v>EQ21</v>
          </cell>
          <cell r="C69" t="str">
            <v>Quantidade</v>
          </cell>
          <cell r="G69">
            <v>1</v>
          </cell>
          <cell r="H69">
            <v>1</v>
          </cell>
          <cell r="K69">
            <v>54.768987294250593</v>
          </cell>
          <cell r="L69">
            <v>0.08</v>
          </cell>
          <cell r="M69">
            <v>4.3815189835400474</v>
          </cell>
          <cell r="N69">
            <v>59.15050627779064</v>
          </cell>
          <cell r="T69">
            <v>1</v>
          </cell>
          <cell r="AD69">
            <v>21.484848484848484</v>
          </cell>
          <cell r="AR69">
            <v>1</v>
          </cell>
          <cell r="AT69">
            <v>3.0289306104523499</v>
          </cell>
          <cell r="AV69">
            <v>83.664285373091474</v>
          </cell>
        </row>
        <row r="70">
          <cell r="C70" t="str">
            <v>Custo Total (R$/Hora)</v>
          </cell>
          <cell r="D70">
            <v>0</v>
          </cell>
          <cell r="E70">
            <v>0</v>
          </cell>
          <cell r="F70">
            <v>0</v>
          </cell>
          <cell r="G70">
            <v>35.604079263915573</v>
          </cell>
          <cell r="H70">
            <v>19.164908030335017</v>
          </cell>
          <cell r="I70">
            <v>0</v>
          </cell>
          <cell r="J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21.484848484848484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AB70">
            <v>0</v>
          </cell>
          <cell r="AC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3.0289306104523499</v>
          </cell>
          <cell r="AS70">
            <v>0</v>
          </cell>
        </row>
        <row r="71">
          <cell r="B71" t="str">
            <v>EQ22</v>
          </cell>
          <cell r="C71" t="str">
            <v>Quantidade</v>
          </cell>
          <cell r="G71">
            <v>1</v>
          </cell>
          <cell r="H71">
            <v>2</v>
          </cell>
          <cell r="K71">
            <v>73.933895324585606</v>
          </cell>
          <cell r="L71">
            <v>0.08</v>
          </cell>
          <cell r="M71">
            <v>5.9147116259668486</v>
          </cell>
          <cell r="N71">
            <v>79.848606950552451</v>
          </cell>
          <cell r="T71">
            <v>1</v>
          </cell>
          <cell r="AD71">
            <v>21.484848484848484</v>
          </cell>
          <cell r="AN71">
            <v>1</v>
          </cell>
          <cell r="AT71">
            <v>18.779369784804569</v>
          </cell>
          <cell r="AV71">
            <v>120.11282522020551</v>
          </cell>
        </row>
        <row r="72">
          <cell r="C72" t="str">
            <v>Custo Total (R$/Hora)</v>
          </cell>
          <cell r="D72">
            <v>0</v>
          </cell>
          <cell r="E72">
            <v>0</v>
          </cell>
          <cell r="F72">
            <v>0</v>
          </cell>
          <cell r="G72">
            <v>35.604079263915573</v>
          </cell>
          <cell r="H72">
            <v>38.329816060670034</v>
          </cell>
          <cell r="I72">
            <v>0</v>
          </cell>
          <cell r="J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21.484848484848484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AB72">
            <v>0</v>
          </cell>
          <cell r="AC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18.779369784804569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</row>
        <row r="73">
          <cell r="B73" t="str">
            <v>EQ22_T</v>
          </cell>
          <cell r="C73" t="str">
            <v>Quantidade</v>
          </cell>
          <cell r="G73">
            <v>1</v>
          </cell>
          <cell r="H73">
            <v>2</v>
          </cell>
          <cell r="K73">
            <v>92.417369155732004</v>
          </cell>
          <cell r="L73">
            <v>0.08</v>
          </cell>
          <cell r="M73">
            <v>7.3933895324585608</v>
          </cell>
          <cell r="N73">
            <v>99.81075868819056</v>
          </cell>
          <cell r="T73">
            <v>1</v>
          </cell>
          <cell r="AD73">
            <v>21.484848484848484</v>
          </cell>
          <cell r="AN73">
            <v>1</v>
          </cell>
          <cell r="AT73">
            <v>18.779369784804569</v>
          </cell>
          <cell r="AV73">
            <v>140.0749769578436</v>
          </cell>
        </row>
        <row r="74">
          <cell r="C74" t="str">
            <v>Custo Total (R$/Hora)</v>
          </cell>
          <cell r="D74">
            <v>0</v>
          </cell>
          <cell r="E74">
            <v>0</v>
          </cell>
          <cell r="F74">
            <v>0</v>
          </cell>
          <cell r="G74">
            <v>44.505099079894464</v>
          </cell>
          <cell r="H74">
            <v>47.91227007583754</v>
          </cell>
          <cell r="I74">
            <v>0</v>
          </cell>
          <cell r="J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21.484848484848484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18.779369784804569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</row>
        <row r="75">
          <cell r="B75" t="str">
            <v>EQ23</v>
          </cell>
          <cell r="C75" t="str">
            <v>Quantidade</v>
          </cell>
          <cell r="F75">
            <v>2</v>
          </cell>
          <cell r="H75">
            <v>1</v>
          </cell>
          <cell r="K75">
            <v>93.127673543917169</v>
          </cell>
          <cell r="L75">
            <v>0.08</v>
          </cell>
          <cell r="M75">
            <v>7.4502138835133733</v>
          </cell>
          <cell r="N75">
            <v>100.57788742743054</v>
          </cell>
          <cell r="T75">
            <v>1</v>
          </cell>
          <cell r="AD75">
            <v>21.484848484848484</v>
          </cell>
          <cell r="AG75">
            <v>1</v>
          </cell>
          <cell r="AT75">
            <v>24.231444883618799</v>
          </cell>
          <cell r="AV75">
            <v>146.29418079589783</v>
          </cell>
        </row>
        <row r="76">
          <cell r="C76" t="str">
            <v>Custo Total (R$/Hora)</v>
          </cell>
          <cell r="D76">
            <v>0</v>
          </cell>
          <cell r="E76">
            <v>0</v>
          </cell>
          <cell r="F76">
            <v>73.962765513582156</v>
          </cell>
          <cell r="G76">
            <v>0</v>
          </cell>
          <cell r="H76">
            <v>19.164908030335017</v>
          </cell>
          <cell r="I76">
            <v>0</v>
          </cell>
          <cell r="J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21.484848484848484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AB76">
            <v>0</v>
          </cell>
          <cell r="AC76">
            <v>0</v>
          </cell>
          <cell r="AE76">
            <v>0</v>
          </cell>
          <cell r="AF76">
            <v>0</v>
          </cell>
          <cell r="AG76">
            <v>24.231444883618799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</row>
        <row r="77">
          <cell r="B77" t="str">
            <v>EQ23_T</v>
          </cell>
          <cell r="C77" t="str">
            <v>Quantidade</v>
          </cell>
          <cell r="F77">
            <v>2</v>
          </cell>
          <cell r="H77">
            <v>1</v>
          </cell>
          <cell r="K77">
            <v>116.40959192989648</v>
          </cell>
          <cell r="L77">
            <v>0.08</v>
          </cell>
          <cell r="M77">
            <v>9.3127673543917187</v>
          </cell>
          <cell r="N77">
            <v>125.7223592842882</v>
          </cell>
          <cell r="T77">
            <v>1</v>
          </cell>
          <cell r="AD77">
            <v>21.484848484848484</v>
          </cell>
          <cell r="AG77">
            <v>1</v>
          </cell>
          <cell r="AT77">
            <v>24.231444883618799</v>
          </cell>
          <cell r="AV77">
            <v>171.43865265275548</v>
          </cell>
        </row>
        <row r="78">
          <cell r="C78" t="str">
            <v>Custo Total (R$/Hora)</v>
          </cell>
          <cell r="D78">
            <v>0</v>
          </cell>
          <cell r="E78">
            <v>0</v>
          </cell>
          <cell r="F78">
            <v>92.453456891977709</v>
          </cell>
          <cell r="G78">
            <v>0</v>
          </cell>
          <cell r="H78">
            <v>23.95613503791877</v>
          </cell>
          <cell r="I78">
            <v>0</v>
          </cell>
          <cell r="J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21.484848484848484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E78">
            <v>0</v>
          </cell>
          <cell r="AF78">
            <v>0</v>
          </cell>
          <cell r="AG78">
            <v>24.231444883618799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</row>
        <row r="79">
          <cell r="B79" t="str">
            <v>EQ24</v>
          </cell>
          <cell r="C79" t="str">
            <v>Quantidade</v>
          </cell>
          <cell r="G79">
            <v>1</v>
          </cell>
          <cell r="H79">
            <v>1</v>
          </cell>
          <cell r="K79">
            <v>54.768987294250593</v>
          </cell>
          <cell r="L79">
            <v>0.08</v>
          </cell>
          <cell r="M79">
            <v>4.3815189835400474</v>
          </cell>
          <cell r="N79">
            <v>59.15050627779064</v>
          </cell>
          <cell r="R79">
            <v>1</v>
          </cell>
          <cell r="AD79">
            <v>6.7662878787878791</v>
          </cell>
          <cell r="AT79">
            <v>0</v>
          </cell>
          <cell r="AV79">
            <v>65.916794156578518</v>
          </cell>
        </row>
        <row r="80">
          <cell r="C80" t="str">
            <v>Custo Total (R$/Hora)</v>
          </cell>
          <cell r="D80">
            <v>0</v>
          </cell>
          <cell r="E80">
            <v>0</v>
          </cell>
          <cell r="F80">
            <v>0</v>
          </cell>
          <cell r="G80">
            <v>35.604079263915573</v>
          </cell>
          <cell r="H80">
            <v>19.164908030335017</v>
          </cell>
          <cell r="I80">
            <v>0</v>
          </cell>
          <cell r="J80">
            <v>0</v>
          </cell>
          <cell r="O80">
            <v>0</v>
          </cell>
          <cell r="P80">
            <v>0</v>
          </cell>
          <cell r="Q80">
            <v>0</v>
          </cell>
          <cell r="R80">
            <v>6.7662878787878791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AB80">
            <v>0</v>
          </cell>
          <cell r="AC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</row>
        <row r="81">
          <cell r="B81" t="str">
            <v>EQ24_T</v>
          </cell>
          <cell r="C81" t="str">
            <v>Quantidade</v>
          </cell>
          <cell r="G81">
            <v>1</v>
          </cell>
          <cell r="H81">
            <v>1</v>
          </cell>
          <cell r="K81">
            <v>68.461234117813234</v>
          </cell>
          <cell r="L81">
            <v>0.08</v>
          </cell>
          <cell r="M81">
            <v>5.4768987294250584</v>
          </cell>
          <cell r="N81">
            <v>73.938132847238293</v>
          </cell>
          <cell r="R81">
            <v>1</v>
          </cell>
          <cell r="AD81">
            <v>6.7662878787878791</v>
          </cell>
          <cell r="AT81">
            <v>0</v>
          </cell>
          <cell r="AV81">
            <v>80.704420726026171</v>
          </cell>
        </row>
        <row r="82">
          <cell r="C82" t="str">
            <v>Custo Total (R$/Hora)</v>
          </cell>
          <cell r="D82">
            <v>0</v>
          </cell>
          <cell r="E82">
            <v>0</v>
          </cell>
          <cell r="F82">
            <v>0</v>
          </cell>
          <cell r="G82">
            <v>44.505099079894464</v>
          </cell>
          <cell r="H82">
            <v>23.95613503791877</v>
          </cell>
          <cell r="I82">
            <v>0</v>
          </cell>
          <cell r="J82">
            <v>0</v>
          </cell>
          <cell r="O82">
            <v>0</v>
          </cell>
          <cell r="P82">
            <v>0</v>
          </cell>
          <cell r="Q82">
            <v>0</v>
          </cell>
          <cell r="R82">
            <v>6.7662878787878791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</row>
        <row r="83">
          <cell r="B83" t="str">
            <v>EQ25</v>
          </cell>
          <cell r="C83" t="str">
            <v>Quantidade</v>
          </cell>
          <cell r="I83">
            <v>1</v>
          </cell>
          <cell r="J83">
            <v>1</v>
          </cell>
          <cell r="K83">
            <v>162.29119215228502</v>
          </cell>
          <cell r="L83">
            <v>0.15</v>
          </cell>
          <cell r="M83">
            <v>24.343678822842751</v>
          </cell>
          <cell r="N83">
            <v>186.63487097512777</v>
          </cell>
          <cell r="P83">
            <v>1</v>
          </cell>
          <cell r="Q83">
            <v>1</v>
          </cell>
          <cell r="T83">
            <v>1</v>
          </cell>
          <cell r="U83">
            <v>1</v>
          </cell>
          <cell r="AD83">
            <v>43.080631313131313</v>
          </cell>
          <cell r="AG83">
            <v>1</v>
          </cell>
          <cell r="AT83">
            <v>24.231444883618799</v>
          </cell>
          <cell r="AV83">
            <v>253.94694717187787</v>
          </cell>
        </row>
        <row r="84">
          <cell r="C84" t="str">
            <v>Custo Total (R$/Hora)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63.933948941063235</v>
          </cell>
          <cell r="J84">
            <v>98.357243211221771</v>
          </cell>
          <cell r="O84">
            <v>0</v>
          </cell>
          <cell r="P84">
            <v>4.5877525252525251</v>
          </cell>
          <cell r="Q84">
            <v>5.955303030303031</v>
          </cell>
          <cell r="R84">
            <v>0</v>
          </cell>
          <cell r="S84">
            <v>0</v>
          </cell>
          <cell r="T84">
            <v>21.484848484848484</v>
          </cell>
          <cell r="U84">
            <v>11.052727272727273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AB84">
            <v>0</v>
          </cell>
          <cell r="AC84">
            <v>0</v>
          </cell>
          <cell r="AE84">
            <v>0</v>
          </cell>
          <cell r="AF84">
            <v>0</v>
          </cell>
          <cell r="AG84">
            <v>24.231444883618799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</row>
        <row r="85">
          <cell r="B85" t="str">
            <v>EQ26</v>
          </cell>
          <cell r="C85" t="str">
            <v>Quantidade</v>
          </cell>
          <cell r="G85">
            <v>1</v>
          </cell>
          <cell r="H85">
            <v>1</v>
          </cell>
          <cell r="K85">
            <v>54.768987294250593</v>
          </cell>
          <cell r="L85">
            <v>0.08</v>
          </cell>
          <cell r="M85">
            <v>4.3815189835400474</v>
          </cell>
          <cell r="N85">
            <v>59.15050627779064</v>
          </cell>
          <cell r="Z85">
            <v>1</v>
          </cell>
          <cell r="AD85">
            <v>45.719191919191914</v>
          </cell>
          <cell r="AT85">
            <v>0</v>
          </cell>
          <cell r="AV85">
            <v>104.86969819698255</v>
          </cell>
        </row>
        <row r="86">
          <cell r="C86" t="str">
            <v>Custo Total (R$/Hora)</v>
          </cell>
          <cell r="D86">
            <v>0</v>
          </cell>
          <cell r="E86">
            <v>0</v>
          </cell>
          <cell r="F86">
            <v>0</v>
          </cell>
          <cell r="G86">
            <v>35.604079263915573</v>
          </cell>
          <cell r="H86">
            <v>19.164908030335017</v>
          </cell>
          <cell r="I86">
            <v>0</v>
          </cell>
          <cell r="J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45.719191919191914</v>
          </cell>
          <cell r="AB86">
            <v>0</v>
          </cell>
          <cell r="AC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</row>
        <row r="87">
          <cell r="B87" t="str">
            <v>EQ26_T</v>
          </cell>
          <cell r="C87" t="str">
            <v>Quantidade</v>
          </cell>
          <cell r="G87">
            <v>1</v>
          </cell>
          <cell r="H87">
            <v>1</v>
          </cell>
          <cell r="K87">
            <v>68.461234117813234</v>
          </cell>
          <cell r="L87">
            <v>0.08</v>
          </cell>
          <cell r="M87">
            <v>5.4768987294250584</v>
          </cell>
          <cell r="N87">
            <v>73.938132847238293</v>
          </cell>
          <cell r="Z87">
            <v>1</v>
          </cell>
          <cell r="AD87">
            <v>45.719191919191914</v>
          </cell>
          <cell r="AT87">
            <v>0</v>
          </cell>
          <cell r="AV87">
            <v>119.65732476643021</v>
          </cell>
        </row>
        <row r="88">
          <cell r="C88" t="str">
            <v>Custo Total (R$/Hora)</v>
          </cell>
          <cell r="D88">
            <v>0</v>
          </cell>
          <cell r="E88">
            <v>0</v>
          </cell>
          <cell r="F88">
            <v>0</v>
          </cell>
          <cell r="G88">
            <v>44.505099079894464</v>
          </cell>
          <cell r="H88">
            <v>23.95613503791877</v>
          </cell>
          <cell r="I88">
            <v>0</v>
          </cell>
          <cell r="J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45.719191919191914</v>
          </cell>
          <cell r="AA88">
            <v>0</v>
          </cell>
          <cell r="AB88">
            <v>0</v>
          </cell>
          <cell r="AC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</row>
        <row r="89">
          <cell r="B89" t="str">
            <v>EQ27</v>
          </cell>
          <cell r="C89" t="str">
            <v>Quantidade</v>
          </cell>
          <cell r="G89">
            <v>2</v>
          </cell>
          <cell r="H89">
            <v>2</v>
          </cell>
          <cell r="K89">
            <v>109.53797458850119</v>
          </cell>
          <cell r="L89">
            <v>0.08</v>
          </cell>
          <cell r="M89">
            <v>8.7630379670800949</v>
          </cell>
          <cell r="N89">
            <v>118.30101255558128</v>
          </cell>
          <cell r="S89">
            <v>1</v>
          </cell>
          <cell r="AD89">
            <v>12.267676767676768</v>
          </cell>
          <cell r="AJ89">
            <v>1</v>
          </cell>
          <cell r="AN89">
            <v>1</v>
          </cell>
          <cell r="AT89">
            <v>28.774840799297323</v>
          </cell>
          <cell r="AV89">
            <v>159.34353012255536</v>
          </cell>
        </row>
        <row r="90">
          <cell r="C90" t="str">
            <v>Custo Total (R$/Hora)</v>
          </cell>
          <cell r="D90">
            <v>0</v>
          </cell>
          <cell r="E90">
            <v>0</v>
          </cell>
          <cell r="F90">
            <v>0</v>
          </cell>
          <cell r="G90">
            <v>71.208158527831145</v>
          </cell>
          <cell r="H90">
            <v>38.329816060670034</v>
          </cell>
          <cell r="I90">
            <v>0</v>
          </cell>
          <cell r="J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12.267676767676768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AB90">
            <v>0</v>
          </cell>
          <cell r="AC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9.9954710144927539</v>
          </cell>
          <cell r="AK90">
            <v>0</v>
          </cell>
          <cell r="AL90">
            <v>0</v>
          </cell>
          <cell r="AM90">
            <v>0</v>
          </cell>
          <cell r="AN90">
            <v>18.779369784804569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</row>
        <row r="91">
          <cell r="B91" t="str">
            <v>EQ27_T</v>
          </cell>
          <cell r="C91" t="str">
            <v>Quantidade</v>
          </cell>
          <cell r="G91">
            <v>2</v>
          </cell>
          <cell r="H91">
            <v>2</v>
          </cell>
          <cell r="K91">
            <v>136.92246823562647</v>
          </cell>
          <cell r="L91">
            <v>0.08</v>
          </cell>
          <cell r="M91">
            <v>10.953797458850117</v>
          </cell>
          <cell r="N91">
            <v>147.87626569447659</v>
          </cell>
          <cell r="S91">
            <v>1</v>
          </cell>
          <cell r="AD91">
            <v>12.267676767676768</v>
          </cell>
          <cell r="AJ91">
            <v>1</v>
          </cell>
          <cell r="AN91">
            <v>1</v>
          </cell>
          <cell r="AT91">
            <v>28.774840799297323</v>
          </cell>
          <cell r="AV91">
            <v>188.91878326145067</v>
          </cell>
        </row>
        <row r="92">
          <cell r="C92" t="str">
            <v>Custo Total (R$/Hora)</v>
          </cell>
          <cell r="D92">
            <v>0</v>
          </cell>
          <cell r="E92">
            <v>0</v>
          </cell>
          <cell r="F92">
            <v>0</v>
          </cell>
          <cell r="G92">
            <v>89.010198159788928</v>
          </cell>
          <cell r="H92">
            <v>47.91227007583754</v>
          </cell>
          <cell r="I92">
            <v>0</v>
          </cell>
          <cell r="J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12.267676767676768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9.9954710144927539</v>
          </cell>
          <cell r="AK92">
            <v>0</v>
          </cell>
          <cell r="AL92">
            <v>0</v>
          </cell>
          <cell r="AM92">
            <v>0</v>
          </cell>
          <cell r="AN92">
            <v>18.779369784804569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</row>
        <row r="93">
          <cell r="B93" t="str">
            <v>EQ28</v>
          </cell>
          <cell r="C93" t="str">
            <v>Quantidade</v>
          </cell>
          <cell r="F93">
            <v>1</v>
          </cell>
          <cell r="H93">
            <v>1</v>
          </cell>
          <cell r="K93">
            <v>56.146290787126091</v>
          </cell>
          <cell r="L93">
            <v>0.08</v>
          </cell>
          <cell r="M93">
            <v>4.4917032629700877</v>
          </cell>
          <cell r="N93">
            <v>60.637994050096182</v>
          </cell>
          <cell r="P93">
            <v>1</v>
          </cell>
          <cell r="AD93">
            <v>4.5877525252525251</v>
          </cell>
          <cell r="AT93">
            <v>0</v>
          </cell>
          <cell r="AV93">
            <v>65.225746575348708</v>
          </cell>
        </row>
        <row r="94">
          <cell r="C94" t="str">
            <v>Custo Total (R$/Hora)</v>
          </cell>
          <cell r="D94">
            <v>0</v>
          </cell>
          <cell r="E94">
            <v>0</v>
          </cell>
          <cell r="F94">
            <v>36.981382756791078</v>
          </cell>
          <cell r="G94">
            <v>0</v>
          </cell>
          <cell r="H94">
            <v>19.164908030335017</v>
          </cell>
          <cell r="I94">
            <v>0</v>
          </cell>
          <cell r="J94">
            <v>0</v>
          </cell>
          <cell r="O94">
            <v>0</v>
          </cell>
          <cell r="P94">
            <v>4.5877525252525251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AB94">
            <v>0</v>
          </cell>
          <cell r="AC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</row>
        <row r="95">
          <cell r="B95" t="str">
            <v>EQ29</v>
          </cell>
          <cell r="C95" t="str">
            <v>Quantidade</v>
          </cell>
          <cell r="F95">
            <v>1</v>
          </cell>
          <cell r="G95">
            <v>1</v>
          </cell>
          <cell r="H95">
            <v>1</v>
          </cell>
          <cell r="K95">
            <v>91.750370051041656</v>
          </cell>
          <cell r="L95">
            <v>0.08</v>
          </cell>
          <cell r="M95">
            <v>7.340029604083333</v>
          </cell>
          <cell r="N95">
            <v>99.090399655124983</v>
          </cell>
          <cell r="P95">
            <v>1</v>
          </cell>
          <cell r="AD95">
            <v>4.5877525252525251</v>
          </cell>
          <cell r="AT95">
            <v>0</v>
          </cell>
          <cell r="AV95">
            <v>103.67815218037751</v>
          </cell>
        </row>
        <row r="96">
          <cell r="C96" t="str">
            <v>Custo Total (R$/Hora)</v>
          </cell>
          <cell r="D96">
            <v>0</v>
          </cell>
          <cell r="E96">
            <v>0</v>
          </cell>
          <cell r="F96">
            <v>36.981382756791078</v>
          </cell>
          <cell r="G96">
            <v>35.604079263915573</v>
          </cell>
          <cell r="H96">
            <v>19.164908030335017</v>
          </cell>
          <cell r="I96">
            <v>0</v>
          </cell>
          <cell r="J96">
            <v>0</v>
          </cell>
          <cell r="O96">
            <v>0</v>
          </cell>
          <cell r="P96">
            <v>4.5877525252525251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AB96">
            <v>0</v>
          </cell>
          <cell r="AC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</row>
        <row r="97">
          <cell r="B97" t="str">
            <v>EQ30</v>
          </cell>
          <cell r="C97" t="str">
            <v>Quantidade</v>
          </cell>
          <cell r="G97">
            <v>1</v>
          </cell>
          <cell r="H97">
            <v>1</v>
          </cell>
          <cell r="K97">
            <v>54.768987294250593</v>
          </cell>
          <cell r="L97">
            <v>0.08</v>
          </cell>
          <cell r="M97">
            <v>4.3815189835400474</v>
          </cell>
          <cell r="N97">
            <v>59.15050627779064</v>
          </cell>
          <cell r="Y97">
            <v>1</v>
          </cell>
          <cell r="AD97">
            <v>52.119191919191913</v>
          </cell>
          <cell r="AT97">
            <v>0</v>
          </cell>
          <cell r="AV97">
            <v>111.26969819698255</v>
          </cell>
        </row>
        <row r="98">
          <cell r="C98" t="str">
            <v>Custo Total (R$/Hora)</v>
          </cell>
          <cell r="D98">
            <v>0</v>
          </cell>
          <cell r="E98">
            <v>0</v>
          </cell>
          <cell r="F98">
            <v>0</v>
          </cell>
          <cell r="G98">
            <v>35.604079263915573</v>
          </cell>
          <cell r="H98">
            <v>19.164908030335017</v>
          </cell>
          <cell r="I98">
            <v>0</v>
          </cell>
          <cell r="J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52.119191919191913</v>
          </cell>
          <cell r="AB98">
            <v>0</v>
          </cell>
          <cell r="AC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</row>
        <row r="99">
          <cell r="B99" t="str">
            <v>EQ31</v>
          </cell>
          <cell r="C99" t="str">
            <v>Quantidade</v>
          </cell>
          <cell r="G99">
            <v>1</v>
          </cell>
          <cell r="H99">
            <v>1</v>
          </cell>
          <cell r="K99">
            <v>54.768987294250593</v>
          </cell>
          <cell r="L99">
            <v>0.08</v>
          </cell>
          <cell r="M99">
            <v>4.3815189835400474</v>
          </cell>
          <cell r="N99">
            <v>59.15050627779064</v>
          </cell>
          <cell r="X99">
            <v>1</v>
          </cell>
          <cell r="AD99">
            <v>22.620833333333334</v>
          </cell>
          <cell r="AT99">
            <v>0</v>
          </cell>
          <cell r="AV99">
            <v>81.771339611123977</v>
          </cell>
        </row>
        <row r="100">
          <cell r="C100" t="str">
            <v>Custo Total (R$/Hora)</v>
          </cell>
          <cell r="D100">
            <v>0</v>
          </cell>
          <cell r="E100">
            <v>0</v>
          </cell>
          <cell r="F100">
            <v>0</v>
          </cell>
          <cell r="G100">
            <v>35.604079263915573</v>
          </cell>
          <cell r="H100">
            <v>19.164908030335017</v>
          </cell>
          <cell r="I100">
            <v>0</v>
          </cell>
          <cell r="J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22.620833333333334</v>
          </cell>
          <cell r="Y100">
            <v>0</v>
          </cell>
          <cell r="AB100">
            <v>0</v>
          </cell>
          <cell r="AC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</row>
        <row r="101">
          <cell r="B101" t="str">
            <v>EQ32</v>
          </cell>
          <cell r="C101" t="str">
            <v>Quantidade</v>
          </cell>
          <cell r="K101">
            <v>0</v>
          </cell>
          <cell r="L101">
            <v>0.08</v>
          </cell>
          <cell r="M101">
            <v>0</v>
          </cell>
          <cell r="N101">
            <v>0</v>
          </cell>
          <cell r="AD101">
            <v>0</v>
          </cell>
          <cell r="AT101">
            <v>0</v>
          </cell>
          <cell r="AV101">
            <v>0</v>
          </cell>
        </row>
        <row r="102">
          <cell r="C102" t="str">
            <v>Custo Total (R$/Hora)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AB102">
            <v>0</v>
          </cell>
          <cell r="AC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</row>
        <row r="105">
          <cell r="B105" t="str">
            <v>EQUIPES COM TURNO</v>
          </cell>
          <cell r="C105" t="str">
            <v>Custo Unitário 6h (R$/Hora)</v>
          </cell>
          <cell r="D105">
            <v>52.209446092530392</v>
          </cell>
          <cell r="E105">
            <v>52.209446092530392</v>
          </cell>
          <cell r="F105">
            <v>46.226728445988854</v>
          </cell>
          <cell r="G105">
            <v>44.505099079894464</v>
          </cell>
          <cell r="H105">
            <v>23.95613503791877</v>
          </cell>
          <cell r="I105">
            <v>79.917436176329048</v>
          </cell>
          <cell r="J105">
            <v>122.94655401402721</v>
          </cell>
          <cell r="K105" t="str">
            <v>Mão de Obra</v>
          </cell>
          <cell r="L105" t="str">
            <v>% EPI + EPC</v>
          </cell>
          <cell r="M105" t="str">
            <v>Custo EPI + EPC</v>
          </cell>
          <cell r="N105" t="str">
            <v>Mão de Obra Total</v>
          </cell>
          <cell r="O105">
            <v>4.4077525252525254</v>
          </cell>
          <cell r="P105">
            <v>4.5877525252525251</v>
          </cell>
          <cell r="Q105">
            <v>5.955303030303031</v>
          </cell>
          <cell r="R105">
            <v>6.7662878787878791</v>
          </cell>
          <cell r="S105">
            <v>12.267676767676768</v>
          </cell>
          <cell r="T105">
            <v>21.484848484848484</v>
          </cell>
          <cell r="U105">
            <v>11.052727272727273</v>
          </cell>
          <cell r="V105">
            <v>2.2656969696969695</v>
          </cell>
          <cell r="W105">
            <v>1.0097676767676769</v>
          </cell>
          <cell r="X105">
            <v>22.620833333333334</v>
          </cell>
          <cell r="Y105">
            <v>52.119191919191913</v>
          </cell>
          <cell r="Z105">
            <v>45.719191919191914</v>
          </cell>
          <cell r="AA105">
            <v>0</v>
          </cell>
          <cell r="AB105">
            <v>0</v>
          </cell>
          <cell r="AC105">
            <v>0</v>
          </cell>
          <cell r="AD105" t="str">
            <v>Veículo</v>
          </cell>
          <cell r="AE105">
            <v>0.51491820377689945</v>
          </cell>
          <cell r="AF105">
            <v>2.6654589371980677</v>
          </cell>
          <cell r="AG105">
            <v>24.231444883618799</v>
          </cell>
          <cell r="AH105">
            <v>28.774840799297323</v>
          </cell>
          <cell r="AI105">
            <v>51.491820377689947</v>
          </cell>
          <cell r="AJ105">
            <v>9.9954710144927539</v>
          </cell>
          <cell r="AK105">
            <v>19.990942028985508</v>
          </cell>
          <cell r="AL105">
            <v>3.6347167325428191E-2</v>
          </cell>
          <cell r="AM105">
            <v>0</v>
          </cell>
          <cell r="AN105">
            <v>18.779369784804569</v>
          </cell>
          <cell r="AO105">
            <v>6.0578612209046998</v>
          </cell>
          <cell r="AP105">
            <v>18.173583662714098</v>
          </cell>
          <cell r="AQ105">
            <v>11.509936319718928</v>
          </cell>
          <cell r="AR105">
            <v>3.0289306104523499</v>
          </cell>
          <cell r="AS105">
            <v>0</v>
          </cell>
          <cell r="AT105" t="str">
            <v>Máquinas</v>
          </cell>
          <cell r="AV105" t="str">
            <v>EQUIPE</v>
          </cell>
        </row>
      </sheetData>
      <sheetData sheetId="4">
        <row r="13">
          <cell r="C13" t="str">
            <v>Veículo Leve Administrativo</v>
          </cell>
          <cell r="D13">
            <v>25000</v>
          </cell>
          <cell r="E13">
            <v>0</v>
          </cell>
          <cell r="F13">
            <v>0</v>
          </cell>
          <cell r="G13">
            <v>4</v>
          </cell>
          <cell r="H13">
            <v>5</v>
          </cell>
          <cell r="I13">
            <v>22000</v>
          </cell>
          <cell r="J13">
            <v>15</v>
          </cell>
          <cell r="K13" t="str">
            <v>Gasolina</v>
          </cell>
          <cell r="L13">
            <v>2.7</v>
          </cell>
          <cell r="M13">
            <v>0.05</v>
          </cell>
          <cell r="N13">
            <v>0.06</v>
          </cell>
          <cell r="O13">
            <v>3000</v>
          </cell>
          <cell r="Q13">
            <v>3960.0000000000005</v>
          </cell>
          <cell r="R13">
            <v>1250</v>
          </cell>
          <cell r="S13">
            <v>1500</v>
          </cell>
          <cell r="T13">
            <v>6513.257575757576</v>
          </cell>
          <cell r="U13">
            <v>13223.257575757576</v>
          </cell>
          <cell r="V13">
            <v>1101.9381313131314</v>
          </cell>
          <cell r="W13">
            <v>4.4077525252525254</v>
          </cell>
        </row>
        <row r="14">
          <cell r="C14" t="str">
            <v>Veículo Leve Operacional</v>
          </cell>
          <cell r="D14">
            <v>25000</v>
          </cell>
          <cell r="E14">
            <v>0</v>
          </cell>
          <cell r="F14">
            <v>0</v>
          </cell>
          <cell r="G14">
            <v>4</v>
          </cell>
          <cell r="H14">
            <v>5</v>
          </cell>
          <cell r="I14">
            <v>25000</v>
          </cell>
          <cell r="J14">
            <v>15</v>
          </cell>
          <cell r="K14" t="str">
            <v>Gasolina</v>
          </cell>
          <cell r="L14">
            <v>2.7</v>
          </cell>
          <cell r="M14">
            <v>0.05</v>
          </cell>
          <cell r="N14">
            <v>0.06</v>
          </cell>
          <cell r="O14">
            <v>3000</v>
          </cell>
          <cell r="Q14">
            <v>4500.0000000000009</v>
          </cell>
          <cell r="R14">
            <v>1250</v>
          </cell>
          <cell r="S14">
            <v>1500</v>
          </cell>
          <cell r="T14">
            <v>6513.257575757576</v>
          </cell>
          <cell r="U14">
            <v>13763.257575757576</v>
          </cell>
          <cell r="V14">
            <v>1146.9381313131314</v>
          </cell>
          <cell r="W14">
            <v>4.5877525252525251</v>
          </cell>
        </row>
        <row r="15">
          <cell r="C15" t="str">
            <v>Veículo Leve tipo Pick-Up</v>
          </cell>
          <cell r="D15">
            <v>30000</v>
          </cell>
          <cell r="E15">
            <v>0</v>
          </cell>
          <cell r="F15">
            <v>0</v>
          </cell>
          <cell r="G15">
            <v>2</v>
          </cell>
          <cell r="H15">
            <v>5</v>
          </cell>
          <cell r="I15">
            <v>25000</v>
          </cell>
          <cell r="J15">
            <v>10</v>
          </cell>
          <cell r="K15" t="str">
            <v>Gasolina</v>
          </cell>
          <cell r="L15">
            <v>2.7</v>
          </cell>
          <cell r="M15">
            <v>0.05</v>
          </cell>
          <cell r="N15">
            <v>0.06</v>
          </cell>
          <cell r="O15">
            <v>3000</v>
          </cell>
          <cell r="Q15">
            <v>6750</v>
          </cell>
          <cell r="R15">
            <v>1500</v>
          </cell>
          <cell r="S15">
            <v>1800</v>
          </cell>
          <cell r="T15">
            <v>7815.909090909091</v>
          </cell>
          <cell r="U15">
            <v>17865.909090909092</v>
          </cell>
          <cell r="V15">
            <v>1488.8257575757577</v>
          </cell>
          <cell r="W15">
            <v>5.955303030303031</v>
          </cell>
        </row>
        <row r="16">
          <cell r="C16" t="str">
            <v>Veículo Médio tipo Pick-Up</v>
          </cell>
          <cell r="D16">
            <v>45000</v>
          </cell>
          <cell r="E16">
            <v>0</v>
          </cell>
          <cell r="F16">
            <v>0</v>
          </cell>
          <cell r="G16">
            <v>2</v>
          </cell>
          <cell r="H16">
            <v>8</v>
          </cell>
          <cell r="I16">
            <v>20000</v>
          </cell>
          <cell r="J16">
            <v>8</v>
          </cell>
          <cell r="K16" t="str">
            <v>Diesel</v>
          </cell>
          <cell r="L16">
            <v>1.9</v>
          </cell>
          <cell r="M16">
            <v>0.1</v>
          </cell>
          <cell r="N16">
            <v>0.06</v>
          </cell>
          <cell r="O16">
            <v>3000</v>
          </cell>
          <cell r="Q16">
            <v>4750</v>
          </cell>
          <cell r="R16">
            <v>4500</v>
          </cell>
          <cell r="S16">
            <v>2700</v>
          </cell>
          <cell r="T16">
            <v>8348.863636363636</v>
          </cell>
          <cell r="U16">
            <v>20298.863636363636</v>
          </cell>
          <cell r="V16">
            <v>1691.5719696969697</v>
          </cell>
          <cell r="W16">
            <v>6.7662878787878791</v>
          </cell>
        </row>
        <row r="17">
          <cell r="C17" t="str">
            <v>Caminhão Leve</v>
          </cell>
          <cell r="D17">
            <v>100000</v>
          </cell>
          <cell r="E17">
            <v>0</v>
          </cell>
          <cell r="F17">
            <v>0</v>
          </cell>
          <cell r="G17">
            <v>3</v>
          </cell>
          <cell r="H17">
            <v>10</v>
          </cell>
          <cell r="I17">
            <v>15000</v>
          </cell>
          <cell r="J17">
            <v>6</v>
          </cell>
          <cell r="K17" t="str">
            <v>Diesel</v>
          </cell>
          <cell r="L17">
            <v>1.9</v>
          </cell>
          <cell r="M17">
            <v>0.1</v>
          </cell>
          <cell r="N17">
            <v>0.06</v>
          </cell>
          <cell r="O17">
            <v>3000</v>
          </cell>
          <cell r="Q17">
            <v>4750</v>
          </cell>
          <cell r="R17">
            <v>10000</v>
          </cell>
          <cell r="S17">
            <v>6000</v>
          </cell>
          <cell r="T17">
            <v>16053.030303030304</v>
          </cell>
          <cell r="U17">
            <v>36803.030303030304</v>
          </cell>
          <cell r="V17">
            <v>3066.9191919191921</v>
          </cell>
          <cell r="W17">
            <v>12.267676767676768</v>
          </cell>
        </row>
        <row r="18">
          <cell r="C18" t="str">
            <v>Caminhão Pesado</v>
          </cell>
          <cell r="D18">
            <v>150000</v>
          </cell>
          <cell r="E18">
            <v>0</v>
          </cell>
          <cell r="F18">
            <v>0</v>
          </cell>
          <cell r="G18">
            <v>3</v>
          </cell>
          <cell r="H18">
            <v>15</v>
          </cell>
          <cell r="I18">
            <v>45000</v>
          </cell>
          <cell r="J18">
            <v>4</v>
          </cell>
          <cell r="K18" t="str">
            <v>Diesel</v>
          </cell>
          <cell r="L18">
            <v>1.9</v>
          </cell>
          <cell r="M18">
            <v>0.1</v>
          </cell>
          <cell r="N18">
            <v>0.06</v>
          </cell>
          <cell r="O18">
            <v>3000</v>
          </cell>
          <cell r="Q18">
            <v>21375</v>
          </cell>
          <cell r="R18">
            <v>15000</v>
          </cell>
          <cell r="S18">
            <v>9000</v>
          </cell>
          <cell r="T18">
            <v>19079.545454545456</v>
          </cell>
          <cell r="U18">
            <v>64454.545454545456</v>
          </cell>
          <cell r="V18">
            <v>5371.212121212121</v>
          </cell>
          <cell r="W18">
            <v>21.484848484848484</v>
          </cell>
        </row>
        <row r="19">
          <cell r="C19" t="str">
            <v>Utilitário - Van</v>
          </cell>
          <cell r="D19">
            <v>45000</v>
          </cell>
          <cell r="E19">
            <v>0</v>
          </cell>
          <cell r="F19">
            <v>0</v>
          </cell>
          <cell r="G19">
            <v>10</v>
          </cell>
          <cell r="H19">
            <v>5</v>
          </cell>
          <cell r="I19">
            <v>15000</v>
          </cell>
          <cell r="J19">
            <v>10</v>
          </cell>
          <cell r="K19" t="str">
            <v>Gasolina</v>
          </cell>
          <cell r="L19">
            <v>2.7</v>
          </cell>
          <cell r="M19">
            <v>0.05</v>
          </cell>
          <cell r="N19">
            <v>0.06</v>
          </cell>
          <cell r="O19">
            <v>1875</v>
          </cell>
          <cell r="Q19">
            <v>4050.0000000000005</v>
          </cell>
          <cell r="R19">
            <v>2250</v>
          </cell>
          <cell r="S19">
            <v>2700</v>
          </cell>
          <cell r="T19">
            <v>11723.863636363636</v>
          </cell>
          <cell r="U19">
            <v>20723.863636363636</v>
          </cell>
          <cell r="V19">
            <v>1726.9886363636363</v>
          </cell>
          <cell r="W19">
            <v>11.052727272727273</v>
          </cell>
        </row>
        <row r="20">
          <cell r="C20" t="str">
            <v>Motocicleta</v>
          </cell>
          <cell r="D20">
            <v>6000</v>
          </cell>
          <cell r="E20">
            <v>0</v>
          </cell>
          <cell r="F20">
            <v>0</v>
          </cell>
          <cell r="G20">
            <v>1</v>
          </cell>
          <cell r="H20">
            <v>5</v>
          </cell>
          <cell r="I20">
            <v>30000</v>
          </cell>
          <cell r="J20">
            <v>40</v>
          </cell>
          <cell r="K20" t="str">
            <v>Gasolina</v>
          </cell>
          <cell r="L20">
            <v>2.7</v>
          </cell>
          <cell r="M20">
            <v>0.05</v>
          </cell>
          <cell r="N20">
            <v>0.06</v>
          </cell>
          <cell r="O20">
            <v>1875</v>
          </cell>
          <cell r="Q20">
            <v>2025.0000000000002</v>
          </cell>
          <cell r="R20">
            <v>300</v>
          </cell>
          <cell r="S20">
            <v>360</v>
          </cell>
          <cell r="T20">
            <v>1563.1818181818182</v>
          </cell>
          <cell r="U20">
            <v>4248.181818181818</v>
          </cell>
          <cell r="V20">
            <v>354.0151515151515</v>
          </cell>
          <cell r="W20">
            <v>2.2656969696969695</v>
          </cell>
        </row>
        <row r="21">
          <cell r="C21" t="str">
            <v>Lancha</v>
          </cell>
          <cell r="D21">
            <v>10000</v>
          </cell>
          <cell r="E21">
            <v>0</v>
          </cell>
          <cell r="F21">
            <v>0</v>
          </cell>
          <cell r="G21">
            <v>4</v>
          </cell>
          <cell r="H21">
            <v>10</v>
          </cell>
          <cell r="I21">
            <v>1200</v>
          </cell>
          <cell r="J21">
            <v>10</v>
          </cell>
          <cell r="K21" t="str">
            <v>Gasolina</v>
          </cell>
          <cell r="L21">
            <v>2.7</v>
          </cell>
          <cell r="M21">
            <v>0.05</v>
          </cell>
          <cell r="N21">
            <v>0.06</v>
          </cell>
          <cell r="O21">
            <v>3000</v>
          </cell>
          <cell r="Q21">
            <v>324</v>
          </cell>
          <cell r="R21">
            <v>500</v>
          </cell>
          <cell r="S21">
            <v>600</v>
          </cell>
          <cell r="T21">
            <v>1605.3030303030305</v>
          </cell>
          <cell r="U21">
            <v>3029.3030303030305</v>
          </cell>
          <cell r="V21">
            <v>252.4419191919192</v>
          </cell>
          <cell r="W21">
            <v>1.0097676767676769</v>
          </cell>
        </row>
        <row r="22">
          <cell r="C22" t="str">
            <v>Caminhão Basculante</v>
          </cell>
          <cell r="D22">
            <v>150000</v>
          </cell>
          <cell r="E22">
            <v>15000</v>
          </cell>
          <cell r="F22">
            <v>0</v>
          </cell>
          <cell r="G22">
            <v>3</v>
          </cell>
          <cell r="H22">
            <v>15</v>
          </cell>
          <cell r="I22">
            <v>45000</v>
          </cell>
          <cell r="J22">
            <v>4</v>
          </cell>
          <cell r="K22" t="str">
            <v>Diesel</v>
          </cell>
          <cell r="L22">
            <v>1.9</v>
          </cell>
          <cell r="M22">
            <v>0.1</v>
          </cell>
          <cell r="N22">
            <v>0.06</v>
          </cell>
          <cell r="O22">
            <v>3000</v>
          </cell>
          <cell r="Q22">
            <v>21375</v>
          </cell>
          <cell r="R22">
            <v>16500</v>
          </cell>
          <cell r="S22">
            <v>9000</v>
          </cell>
          <cell r="T22">
            <v>20987.5</v>
          </cell>
          <cell r="U22">
            <v>67862.5</v>
          </cell>
          <cell r="V22">
            <v>5655.208333333333</v>
          </cell>
          <cell r="W22">
            <v>22.620833333333334</v>
          </cell>
        </row>
        <row r="23">
          <cell r="C23" t="str">
            <v>Caminhão Munck</v>
          </cell>
          <cell r="D23">
            <v>470000</v>
          </cell>
          <cell r="E23">
            <v>0</v>
          </cell>
          <cell r="F23">
            <v>0</v>
          </cell>
          <cell r="G23">
            <v>3</v>
          </cell>
          <cell r="H23">
            <v>15</v>
          </cell>
          <cell r="I23">
            <v>45000</v>
          </cell>
          <cell r="J23">
            <v>4</v>
          </cell>
          <cell r="K23" t="str">
            <v>Diesel</v>
          </cell>
          <cell r="L23">
            <v>1.9</v>
          </cell>
          <cell r="M23">
            <v>0.1</v>
          </cell>
          <cell r="N23">
            <v>0.06</v>
          </cell>
          <cell r="O23">
            <v>3000</v>
          </cell>
          <cell r="Q23">
            <v>21375</v>
          </cell>
          <cell r="R23">
            <v>47000</v>
          </cell>
          <cell r="S23">
            <v>28200</v>
          </cell>
          <cell r="T23">
            <v>59782.57575757576</v>
          </cell>
          <cell r="U23">
            <v>156357.57575757575</v>
          </cell>
          <cell r="V23">
            <v>13029.797979797979</v>
          </cell>
          <cell r="W23">
            <v>52.119191919191913</v>
          </cell>
        </row>
        <row r="24">
          <cell r="C24" t="str">
            <v>Caminhão Pipa</v>
          </cell>
          <cell r="D24">
            <v>150000</v>
          </cell>
          <cell r="E24">
            <v>320000</v>
          </cell>
          <cell r="F24">
            <v>0</v>
          </cell>
          <cell r="G24">
            <v>3</v>
          </cell>
          <cell r="H24">
            <v>15</v>
          </cell>
          <cell r="I24">
            <v>45000</v>
          </cell>
          <cell r="J24">
            <v>4</v>
          </cell>
          <cell r="K24" t="str">
            <v>Diesel</v>
          </cell>
          <cell r="L24">
            <v>1.9</v>
          </cell>
          <cell r="M24">
            <v>0.1</v>
          </cell>
          <cell r="N24">
            <v>0.06</v>
          </cell>
          <cell r="O24">
            <v>3000</v>
          </cell>
          <cell r="Q24">
            <v>21375</v>
          </cell>
          <cell r="R24">
            <v>47000</v>
          </cell>
          <cell r="S24">
            <v>9000</v>
          </cell>
          <cell r="T24">
            <v>59782.57575757576</v>
          </cell>
          <cell r="U24">
            <v>137157.57575757575</v>
          </cell>
          <cell r="V24">
            <v>11429.797979797979</v>
          </cell>
          <cell r="W24">
            <v>45.719191919191914</v>
          </cell>
        </row>
        <row r="25">
          <cell r="E25">
            <v>0</v>
          </cell>
          <cell r="F25">
            <v>0</v>
          </cell>
          <cell r="L25">
            <v>0</v>
          </cell>
          <cell r="O25">
            <v>3000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E26">
            <v>0</v>
          </cell>
          <cell r="F26">
            <v>0</v>
          </cell>
          <cell r="L26">
            <v>0</v>
          </cell>
          <cell r="O26">
            <v>3000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E27">
            <v>0</v>
          </cell>
          <cell r="F27">
            <v>0</v>
          </cell>
          <cell r="L27">
            <v>0</v>
          </cell>
          <cell r="O27">
            <v>3000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33">
          <cell r="C33" t="str">
            <v>Compressor</v>
          </cell>
          <cell r="D33">
            <v>8500</v>
          </cell>
          <cell r="E33">
            <v>0</v>
          </cell>
          <cell r="F33">
            <v>0</v>
          </cell>
          <cell r="H33">
            <v>15</v>
          </cell>
          <cell r="L33">
            <v>0</v>
          </cell>
          <cell r="M33">
            <v>0.03</v>
          </cell>
          <cell r="N33">
            <v>0.01</v>
          </cell>
          <cell r="O33">
            <v>2760</v>
          </cell>
          <cell r="Q33">
            <v>0</v>
          </cell>
          <cell r="R33">
            <v>255</v>
          </cell>
          <cell r="S33">
            <v>85</v>
          </cell>
          <cell r="T33">
            <v>1081.1742424242425</v>
          </cell>
          <cell r="U33">
            <v>1421.1742424242425</v>
          </cell>
          <cell r="V33">
            <v>118.43118686868688</v>
          </cell>
          <cell r="W33">
            <v>0.51491820377689945</v>
          </cell>
        </row>
        <row r="34">
          <cell r="C34" t="str">
            <v>Empilhadeira</v>
          </cell>
          <cell r="D34">
            <v>44000</v>
          </cell>
          <cell r="E34">
            <v>0</v>
          </cell>
          <cell r="F34">
            <v>0</v>
          </cell>
          <cell r="H34">
            <v>15</v>
          </cell>
          <cell r="L34">
            <v>0</v>
          </cell>
          <cell r="M34">
            <v>0.03</v>
          </cell>
          <cell r="N34">
            <v>0.01</v>
          </cell>
          <cell r="O34">
            <v>2760</v>
          </cell>
          <cell r="Q34">
            <v>0</v>
          </cell>
          <cell r="R34">
            <v>1320</v>
          </cell>
          <cell r="S34">
            <v>440</v>
          </cell>
          <cell r="T34">
            <v>5596.666666666667</v>
          </cell>
          <cell r="U34">
            <v>7356.666666666667</v>
          </cell>
          <cell r="V34">
            <v>613.05555555555554</v>
          </cell>
          <cell r="W34">
            <v>2.6654589371980677</v>
          </cell>
        </row>
        <row r="35">
          <cell r="C35" t="str">
            <v>Equipamento de Jato - Desobstrutor</v>
          </cell>
          <cell r="D35">
            <v>400000</v>
          </cell>
          <cell r="E35">
            <v>0</v>
          </cell>
          <cell r="F35">
            <v>0</v>
          </cell>
          <cell r="H35">
            <v>15</v>
          </cell>
          <cell r="L35">
            <v>0</v>
          </cell>
          <cell r="M35">
            <v>0.03</v>
          </cell>
          <cell r="N35">
            <v>0.01</v>
          </cell>
          <cell r="O35">
            <v>2760</v>
          </cell>
          <cell r="Q35">
            <v>0</v>
          </cell>
          <cell r="R35">
            <v>12000</v>
          </cell>
          <cell r="S35">
            <v>4000</v>
          </cell>
          <cell r="T35">
            <v>50878.787878787887</v>
          </cell>
          <cell r="U35">
            <v>66878.787878787887</v>
          </cell>
          <cell r="V35">
            <v>5573.2323232323242</v>
          </cell>
          <cell r="W35">
            <v>24.231444883618799</v>
          </cell>
        </row>
        <row r="36">
          <cell r="C36" t="str">
            <v>Escavadeira</v>
          </cell>
          <cell r="D36">
            <v>475000</v>
          </cell>
          <cell r="E36">
            <v>0</v>
          </cell>
          <cell r="F36">
            <v>0</v>
          </cell>
          <cell r="H36">
            <v>15</v>
          </cell>
          <cell r="L36">
            <v>0</v>
          </cell>
          <cell r="M36">
            <v>0.03</v>
          </cell>
          <cell r="N36">
            <v>0.01</v>
          </cell>
          <cell r="O36">
            <v>2760</v>
          </cell>
          <cell r="Q36">
            <v>0</v>
          </cell>
          <cell r="R36">
            <v>14250</v>
          </cell>
          <cell r="S36">
            <v>4750</v>
          </cell>
          <cell r="T36">
            <v>60418.560606060608</v>
          </cell>
          <cell r="U36">
            <v>79418.560606060608</v>
          </cell>
          <cell r="V36">
            <v>6618.2133838383843</v>
          </cell>
          <cell r="W36">
            <v>28.774840799297323</v>
          </cell>
        </row>
        <row r="37">
          <cell r="C37" t="str">
            <v>Guindaste</v>
          </cell>
          <cell r="D37">
            <v>850000</v>
          </cell>
          <cell r="E37">
            <v>0</v>
          </cell>
          <cell r="F37">
            <v>0</v>
          </cell>
          <cell r="H37">
            <v>15</v>
          </cell>
          <cell r="L37">
            <v>0</v>
          </cell>
          <cell r="M37">
            <v>0.03</v>
          </cell>
          <cell r="N37">
            <v>0.01</v>
          </cell>
          <cell r="O37">
            <v>2760</v>
          </cell>
          <cell r="Q37">
            <v>0</v>
          </cell>
          <cell r="R37">
            <v>25500</v>
          </cell>
          <cell r="S37">
            <v>8500</v>
          </cell>
          <cell r="T37">
            <v>108117.42424242425</v>
          </cell>
          <cell r="U37">
            <v>142117.42424242425</v>
          </cell>
          <cell r="V37">
            <v>11843.118686868687</v>
          </cell>
          <cell r="W37">
            <v>51.491820377689947</v>
          </cell>
        </row>
        <row r="38">
          <cell r="C38" t="str">
            <v>Maquina de Cortar Asfalto</v>
          </cell>
          <cell r="D38">
            <v>165000</v>
          </cell>
          <cell r="E38">
            <v>0</v>
          </cell>
          <cell r="F38">
            <v>0</v>
          </cell>
          <cell r="H38">
            <v>15</v>
          </cell>
          <cell r="L38">
            <v>0</v>
          </cell>
          <cell r="M38">
            <v>0.03</v>
          </cell>
          <cell r="N38">
            <v>0.01</v>
          </cell>
          <cell r="O38">
            <v>2760</v>
          </cell>
          <cell r="Q38">
            <v>0</v>
          </cell>
          <cell r="R38">
            <v>4950</v>
          </cell>
          <cell r="S38">
            <v>1650</v>
          </cell>
          <cell r="T38">
            <v>20987.5</v>
          </cell>
          <cell r="U38">
            <v>27587.5</v>
          </cell>
          <cell r="V38">
            <v>2298.9583333333335</v>
          </cell>
          <cell r="W38">
            <v>9.9954710144927539</v>
          </cell>
        </row>
        <row r="39">
          <cell r="C39" t="str">
            <v>Motoniveladora</v>
          </cell>
          <cell r="D39">
            <v>330000</v>
          </cell>
          <cell r="E39">
            <v>0</v>
          </cell>
          <cell r="F39">
            <v>0</v>
          </cell>
          <cell r="H39">
            <v>15</v>
          </cell>
          <cell r="L39">
            <v>0</v>
          </cell>
          <cell r="M39">
            <v>0.03</v>
          </cell>
          <cell r="N39">
            <v>0.01</v>
          </cell>
          <cell r="O39">
            <v>2760</v>
          </cell>
          <cell r="Q39">
            <v>0</v>
          </cell>
          <cell r="R39">
            <v>9900</v>
          </cell>
          <cell r="S39">
            <v>3300</v>
          </cell>
          <cell r="T39">
            <v>41975</v>
          </cell>
          <cell r="U39">
            <v>55175</v>
          </cell>
          <cell r="V39">
            <v>4597.916666666667</v>
          </cell>
          <cell r="W39">
            <v>19.990942028985508</v>
          </cell>
        </row>
        <row r="40">
          <cell r="C40" t="str">
            <v>Motor Estacionario</v>
          </cell>
          <cell r="D40">
            <v>600</v>
          </cell>
          <cell r="E40">
            <v>0</v>
          </cell>
          <cell r="F40">
            <v>0</v>
          </cell>
          <cell r="H40">
            <v>15</v>
          </cell>
          <cell r="L40">
            <v>0</v>
          </cell>
          <cell r="M40">
            <v>0.03</v>
          </cell>
          <cell r="N40">
            <v>0.01</v>
          </cell>
          <cell r="O40">
            <v>2760</v>
          </cell>
          <cell r="Q40">
            <v>0</v>
          </cell>
          <cell r="R40">
            <v>18</v>
          </cell>
          <cell r="S40">
            <v>6</v>
          </cell>
          <cell r="T40">
            <v>76.318181818181813</v>
          </cell>
          <cell r="U40">
            <v>100.31818181818181</v>
          </cell>
          <cell r="V40">
            <v>8.3598484848484844</v>
          </cell>
          <cell r="W40">
            <v>3.6347167325428191E-2</v>
          </cell>
        </row>
        <row r="41">
          <cell r="C41" t="str">
            <v>Plataforma</v>
          </cell>
          <cell r="E41">
            <v>0</v>
          </cell>
          <cell r="F41">
            <v>0</v>
          </cell>
          <cell r="L41">
            <v>0</v>
          </cell>
          <cell r="M41">
            <v>0.03</v>
          </cell>
          <cell r="N41">
            <v>0.01</v>
          </cell>
          <cell r="O41">
            <v>2760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C42" t="str">
            <v>Retroescavadeira</v>
          </cell>
          <cell r="D42">
            <v>310000</v>
          </cell>
          <cell r="E42">
            <v>0</v>
          </cell>
          <cell r="F42">
            <v>0</v>
          </cell>
          <cell r="H42">
            <v>15</v>
          </cell>
          <cell r="L42">
            <v>0</v>
          </cell>
          <cell r="M42">
            <v>0.03</v>
          </cell>
          <cell r="N42">
            <v>0.01</v>
          </cell>
          <cell r="O42">
            <v>2760</v>
          </cell>
          <cell r="Q42">
            <v>0</v>
          </cell>
          <cell r="R42">
            <v>9300</v>
          </cell>
          <cell r="S42">
            <v>3100</v>
          </cell>
          <cell r="T42">
            <v>39431.060606060608</v>
          </cell>
          <cell r="U42">
            <v>51831.060606060608</v>
          </cell>
          <cell r="V42">
            <v>4319.2550505050503</v>
          </cell>
          <cell r="W42">
            <v>18.779369784804569</v>
          </cell>
        </row>
        <row r="43">
          <cell r="C43" t="str">
            <v>Trator</v>
          </cell>
          <cell r="D43">
            <v>100000</v>
          </cell>
          <cell r="E43">
            <v>0</v>
          </cell>
          <cell r="F43">
            <v>0</v>
          </cell>
          <cell r="H43">
            <v>15</v>
          </cell>
          <cell r="L43">
            <v>0</v>
          </cell>
          <cell r="M43">
            <v>0.03</v>
          </cell>
          <cell r="N43">
            <v>0.01</v>
          </cell>
          <cell r="O43">
            <v>2760</v>
          </cell>
          <cell r="Q43">
            <v>0</v>
          </cell>
          <cell r="R43">
            <v>3000</v>
          </cell>
          <cell r="S43">
            <v>1000</v>
          </cell>
          <cell r="T43">
            <v>12719.696969696972</v>
          </cell>
          <cell r="U43">
            <v>16719.696969696972</v>
          </cell>
          <cell r="V43">
            <v>1393.3080808080811</v>
          </cell>
          <cell r="W43">
            <v>6.0578612209046998</v>
          </cell>
        </row>
        <row r="44">
          <cell r="C44" t="str">
            <v>Trator Esteira</v>
          </cell>
          <cell r="D44">
            <v>300000</v>
          </cell>
          <cell r="E44">
            <v>0</v>
          </cell>
          <cell r="F44">
            <v>0</v>
          </cell>
          <cell r="H44">
            <v>15</v>
          </cell>
          <cell r="L44">
            <v>0</v>
          </cell>
          <cell r="M44">
            <v>0.03</v>
          </cell>
          <cell r="N44">
            <v>0.01</v>
          </cell>
          <cell r="O44">
            <v>2760</v>
          </cell>
          <cell r="Q44">
            <v>0</v>
          </cell>
          <cell r="R44">
            <v>9000</v>
          </cell>
          <cell r="S44">
            <v>3000</v>
          </cell>
          <cell r="T44">
            <v>38159.090909090912</v>
          </cell>
          <cell r="U44">
            <v>50159.090909090912</v>
          </cell>
          <cell r="V44">
            <v>4179.9242424242429</v>
          </cell>
          <cell r="W44">
            <v>18.173583662714098</v>
          </cell>
        </row>
        <row r="45">
          <cell r="C45" t="str">
            <v>Trator Roçadeira</v>
          </cell>
          <cell r="D45">
            <v>190000</v>
          </cell>
          <cell r="E45">
            <v>0</v>
          </cell>
          <cell r="F45">
            <v>0</v>
          </cell>
          <cell r="H45">
            <v>15</v>
          </cell>
          <cell r="L45">
            <v>0</v>
          </cell>
          <cell r="M45">
            <v>0.03</v>
          </cell>
          <cell r="N45">
            <v>0.01</v>
          </cell>
          <cell r="O45">
            <v>2760</v>
          </cell>
          <cell r="Q45">
            <v>0</v>
          </cell>
          <cell r="R45">
            <v>5700</v>
          </cell>
          <cell r="S45">
            <v>1900</v>
          </cell>
          <cell r="T45">
            <v>24167.424242424244</v>
          </cell>
          <cell r="U45">
            <v>31767.424242424244</v>
          </cell>
          <cell r="V45">
            <v>2647.2853535353538</v>
          </cell>
          <cell r="W45">
            <v>11.509936319718928</v>
          </cell>
        </row>
        <row r="46">
          <cell r="C46" t="str">
            <v>Caminhão Limpa Fossa</v>
          </cell>
          <cell r="D46">
            <v>50000</v>
          </cell>
          <cell r="E46">
            <v>0</v>
          </cell>
          <cell r="F46">
            <v>0</v>
          </cell>
          <cell r="H46">
            <v>15</v>
          </cell>
          <cell r="L46">
            <v>0</v>
          </cell>
          <cell r="M46">
            <v>0.03</v>
          </cell>
          <cell r="N46">
            <v>0.01</v>
          </cell>
          <cell r="O46">
            <v>2760</v>
          </cell>
          <cell r="Q46">
            <v>0</v>
          </cell>
          <cell r="R46">
            <v>1500</v>
          </cell>
          <cell r="S46">
            <v>500</v>
          </cell>
          <cell r="T46">
            <v>6359.8484848484859</v>
          </cell>
          <cell r="U46">
            <v>8359.8484848484859</v>
          </cell>
          <cell r="V46">
            <v>696.65404040404053</v>
          </cell>
          <cell r="W46">
            <v>3.0289306104523499</v>
          </cell>
        </row>
        <row r="47">
          <cell r="E47">
            <v>0</v>
          </cell>
          <cell r="F47">
            <v>0</v>
          </cell>
          <cell r="L47">
            <v>0</v>
          </cell>
          <cell r="M47">
            <v>0.03</v>
          </cell>
          <cell r="N47">
            <v>0.01</v>
          </cell>
          <cell r="O47">
            <v>2760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</sheetData>
      <sheetData sheetId="5">
        <row r="457">
          <cell r="D457">
            <v>10</v>
          </cell>
        </row>
        <row r="458">
          <cell r="D458">
            <v>0.95</v>
          </cell>
        </row>
      </sheetData>
      <sheetData sheetId="6">
        <row r="9">
          <cell r="D9">
            <v>16.821443846765277</v>
          </cell>
          <cell r="I9">
            <v>12.5</v>
          </cell>
        </row>
        <row r="10">
          <cell r="D10">
            <v>9.387105</v>
          </cell>
          <cell r="I10">
            <v>9.387105</v>
          </cell>
        </row>
        <row r="11">
          <cell r="D11">
            <v>9.387105</v>
          </cell>
        </row>
        <row r="12">
          <cell r="D12">
            <v>9.387105</v>
          </cell>
          <cell r="I12">
            <v>10</v>
          </cell>
        </row>
        <row r="13">
          <cell r="D13">
            <v>10</v>
          </cell>
          <cell r="I13">
            <v>10</v>
          </cell>
        </row>
        <row r="14">
          <cell r="D14">
            <v>5</v>
          </cell>
        </row>
        <row r="15">
          <cell r="D15">
            <v>2.4488099999999999</v>
          </cell>
          <cell r="I15">
            <v>10</v>
          </cell>
        </row>
        <row r="16">
          <cell r="D16">
            <v>6.4135499999999999</v>
          </cell>
          <cell r="I16">
            <v>10</v>
          </cell>
        </row>
        <row r="17">
          <cell r="D17">
            <v>147.25972741978148</v>
          </cell>
        </row>
        <row r="18">
          <cell r="D18">
            <v>68.109899858415858</v>
          </cell>
        </row>
        <row r="19">
          <cell r="D19">
            <v>33.765986229574423</v>
          </cell>
        </row>
        <row r="20">
          <cell r="D20">
            <v>0.05</v>
          </cell>
        </row>
        <row r="21">
          <cell r="D21">
            <v>50</v>
          </cell>
        </row>
        <row r="22">
          <cell r="D22">
            <v>100</v>
          </cell>
        </row>
        <row r="23">
          <cell r="D23">
            <v>6</v>
          </cell>
        </row>
        <row r="33">
          <cell r="E33">
            <v>8</v>
          </cell>
        </row>
        <row r="34">
          <cell r="E34">
            <v>8</v>
          </cell>
        </row>
        <row r="35">
          <cell r="E35">
            <v>5</v>
          </cell>
        </row>
        <row r="36">
          <cell r="E36">
            <v>5</v>
          </cell>
        </row>
        <row r="43">
          <cell r="D43">
            <v>1500</v>
          </cell>
        </row>
        <row r="44">
          <cell r="D44">
            <v>2500</v>
          </cell>
        </row>
      </sheetData>
      <sheetData sheetId="7">
        <row r="9">
          <cell r="C9" t="str">
            <v>Poli Aniônico (Agua)</v>
          </cell>
          <cell r="D9">
            <v>15.89</v>
          </cell>
        </row>
        <row r="10">
          <cell r="C10" t="str">
            <v>Carvão Ativado em Pó</v>
          </cell>
          <cell r="D10">
            <v>0</v>
          </cell>
        </row>
        <row r="11">
          <cell r="C11" t="str">
            <v>Permanganato de Potássio</v>
          </cell>
          <cell r="D11">
            <v>0</v>
          </cell>
        </row>
        <row r="12">
          <cell r="C12" t="str">
            <v>Cal Hidratada (Agua)</v>
          </cell>
          <cell r="D12">
            <v>0.30399999999999999</v>
          </cell>
        </row>
        <row r="13">
          <cell r="C13" t="str">
            <v>Cal Virgem (Agua)</v>
          </cell>
          <cell r="D13">
            <v>0.28100000000000003</v>
          </cell>
        </row>
        <row r="14">
          <cell r="C14" t="str">
            <v>Ácido Fluossilícico</v>
          </cell>
          <cell r="D14">
            <v>0.58099999999999996</v>
          </cell>
        </row>
        <row r="15">
          <cell r="C15" t="str">
            <v>Cloro Gasoso (ETA)</v>
          </cell>
          <cell r="D15">
            <v>3.93</v>
          </cell>
        </row>
        <row r="16">
          <cell r="C16" t="str">
            <v>Cloro Gasoso (UTS)</v>
          </cell>
          <cell r="D16">
            <v>4.5</v>
          </cell>
        </row>
        <row r="17">
          <cell r="C17" t="str">
            <v>Hipoclorito de Sódio</v>
          </cell>
          <cell r="D17">
            <v>1.77</v>
          </cell>
        </row>
        <row r="18">
          <cell r="C18" t="str">
            <v>Policloreto de Alumínio - PAC (Coagulante)</v>
          </cell>
          <cell r="D18">
            <v>1.399</v>
          </cell>
        </row>
        <row r="19">
          <cell r="C19" t="str">
            <v>Sulfato Al Liq. (Coagulante)</v>
          </cell>
          <cell r="D19">
            <v>0.51600000000000001</v>
          </cell>
        </row>
        <row r="20">
          <cell r="C20" t="str">
            <v>Carbonato de Sodio</v>
          </cell>
          <cell r="D20">
            <v>2.35</v>
          </cell>
        </row>
        <row r="21">
          <cell r="C21" t="str">
            <v>Fluorssilicato de Sódio</v>
          </cell>
          <cell r="D21">
            <v>2.4300000000000002</v>
          </cell>
        </row>
        <row r="22">
          <cell r="C22" t="str">
            <v>Tricloro</v>
          </cell>
          <cell r="D22">
            <v>12.6</v>
          </cell>
        </row>
        <row r="23">
          <cell r="C23" t="str">
            <v>Poli Prensa (Lodo)</v>
          </cell>
          <cell r="D23">
            <v>11.99</v>
          </cell>
        </row>
        <row r="24">
          <cell r="C24" t="str">
            <v>Poli Centrífuga (Lodo)</v>
          </cell>
          <cell r="D24">
            <v>11.74</v>
          </cell>
        </row>
        <row r="25">
          <cell r="C25" t="str">
            <v>Poli Aniônico (Esgoto)</v>
          </cell>
          <cell r="D25">
            <v>10.8</v>
          </cell>
        </row>
        <row r="26">
          <cell r="C26" t="str">
            <v>Sulfato Al (Coagulante)</v>
          </cell>
          <cell r="D26">
            <v>0.41</v>
          </cell>
        </row>
        <row r="27">
          <cell r="C27" t="str">
            <v>Cloreto Férrico (Coagulante)</v>
          </cell>
          <cell r="D27">
            <v>0.72</v>
          </cell>
        </row>
        <row r="28">
          <cell r="C28" t="str">
            <v>Cal (Esgoto)</v>
          </cell>
          <cell r="D28">
            <v>0.21</v>
          </cell>
        </row>
        <row r="29">
          <cell r="C29" t="str">
            <v>Clorocal</v>
          </cell>
          <cell r="D29">
            <v>2.95</v>
          </cell>
        </row>
        <row r="32">
          <cell r="D32">
            <v>15.1</v>
          </cell>
        </row>
        <row r="33">
          <cell r="D33">
            <v>0.2</v>
          </cell>
        </row>
        <row r="34">
          <cell r="D34">
            <v>15</v>
          </cell>
        </row>
        <row r="86">
          <cell r="J86">
            <v>0.49689394445730495</v>
          </cell>
        </row>
      </sheetData>
      <sheetData sheetId="8">
        <row r="8">
          <cell r="D8">
            <v>15.1</v>
          </cell>
        </row>
        <row r="9">
          <cell r="D9">
            <v>0.2</v>
          </cell>
        </row>
        <row r="10">
          <cell r="D10">
            <v>5</v>
          </cell>
        </row>
        <row r="176">
          <cell r="M176">
            <v>0.25023519583894582</v>
          </cell>
        </row>
      </sheetData>
      <sheetData sheetId="9"/>
      <sheetData sheetId="10">
        <row r="26">
          <cell r="J26">
            <v>496222</v>
          </cell>
          <cell r="L26">
            <v>6.1499999999999999E-2</v>
          </cell>
        </row>
        <row r="39">
          <cell r="J39">
            <v>402990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9">
          <cell r="D9">
            <v>3319.1813750684933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E"/>
      <sheetName val="Recebidos"/>
      <sheetName val="Rec. 2010"/>
      <sheetName val="Rec. 2011"/>
      <sheetName val="Rec. 2013"/>
      <sheetName val="Desp. 2010"/>
      <sheetName val="Desp. 2011"/>
      <sheetName val="Desp. 2012"/>
      <sheetName val="Verificar_Desp. 2013"/>
      <sheetName val="Verificar_Desp 2012"/>
      <sheetName val="Verificar_Rec. 201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ão Relatótio"/>
      <sheetName val="Final"/>
      <sheetName val="Controle"/>
      <sheetName val="BETA"/>
      <sheetName val="Country Risk"/>
      <sheetName val="T-Bonds"/>
      <sheetName val="Long-Horizon ERP"/>
      <sheetName val="Mid-Cap Premia"/>
      <sheetName val="Low-Cap Premia"/>
      <sheetName val="Micro-Cap Premia"/>
      <sheetName val="US Inflation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terc"/>
      <sheetName val="Kterc (2)"/>
      <sheetName val="Final"/>
      <sheetName val="Controle"/>
      <sheetName val="BETA (2)"/>
      <sheetName val="BETA"/>
      <sheetName val="Country Risk"/>
      <sheetName val="T-Bonds"/>
      <sheetName val="Long-Horizon ERP"/>
      <sheetName val="Mid-Cap Premia"/>
      <sheetName val="Low-Cap Premia"/>
      <sheetName val="Micro-Cap Premia"/>
      <sheetName val="US Inflation"/>
      <sheetName val="Fat T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>
        <row r="6">
          <cell r="E6">
            <v>5.0370069444444434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Erika Medeiros e Silva" id="{5127A42C-CF4F-449D-8941-ECA6992CD795}" userId="Erika Medeiros e Silva" providerId="None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adasa.df.gov.br/images/storage/audiencia_publica/004-2017/Resolucao072017_HomologaTarifasCAESB_2017.pdf" TargetMode="External"/><Relationship Id="rId1" Type="http://schemas.openxmlformats.org/officeDocument/2006/relationships/hyperlink" Target="http://www.adasa.df.gov.br/images/storage/legislacao/resolucoes_adasa/Resolucao-007_2018.pdf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dasa.df.gov.br/images/transparencia/informacoes_30_04/irt2018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>
    <tabColor theme="1"/>
  </sheetPr>
  <dimension ref="A1:M7"/>
  <sheetViews>
    <sheetView showGridLines="0" tabSelected="1" zoomScale="80" zoomScaleNormal="80" workbookViewId="0">
      <selection activeCell="H10" sqref="H10"/>
    </sheetView>
  </sheetViews>
  <sheetFormatPr defaultRowHeight="15" x14ac:dyDescent="0.25"/>
  <cols>
    <col min="1" max="1" width="4.7109375" style="77" customWidth="1"/>
    <col min="2" max="2" width="55.42578125" style="77" bestFit="1" customWidth="1"/>
    <col min="3" max="3" width="25.140625" style="77" bestFit="1" customWidth="1"/>
    <col min="4" max="4" width="2.28515625" style="77" customWidth="1"/>
    <col min="5" max="5" width="20.140625" style="77" customWidth="1"/>
    <col min="6" max="6" width="25.28515625" style="77" bestFit="1" customWidth="1"/>
    <col min="7" max="7" width="14.42578125" style="77" bestFit="1" customWidth="1"/>
    <col min="10" max="10" width="17.42578125" bestFit="1" customWidth="1"/>
    <col min="13" max="13" width="13.140625" bestFit="1" customWidth="1"/>
  </cols>
  <sheetData>
    <row r="1" spans="1:13" s="77" customFormat="1" ht="14.25" x14ac:dyDescent="0.25"/>
    <row r="2" spans="1:13" s="77" customFormat="1" ht="14.25" x14ac:dyDescent="0.25"/>
    <row r="3" spans="1:13" s="77" customFormat="1" ht="18.75" customHeight="1" x14ac:dyDescent="0.25">
      <c r="B3" s="265" t="s">
        <v>284</v>
      </c>
      <c r="C3" s="265"/>
      <c r="D3" s="265"/>
      <c r="E3" s="265"/>
      <c r="F3" s="265"/>
      <c r="G3" s="265"/>
    </row>
    <row r="4" spans="1:13" s="77" customFormat="1" ht="28.5" customHeight="1" x14ac:dyDescent="0.25">
      <c r="M4" s="156"/>
    </row>
    <row r="5" spans="1:13" x14ac:dyDescent="0.25">
      <c r="A5"/>
      <c r="C5" s="89"/>
      <c r="D5"/>
      <c r="E5"/>
      <c r="F5"/>
      <c r="G5"/>
    </row>
    <row r="6" spans="1:13" x14ac:dyDescent="0.25">
      <c r="A6"/>
      <c r="C6" s="87"/>
      <c r="D6"/>
      <c r="E6"/>
      <c r="F6"/>
      <c r="G6"/>
    </row>
    <row r="7" spans="1:13" x14ac:dyDescent="0.25">
      <c r="A7"/>
      <c r="C7" s="87"/>
      <c r="D7"/>
      <c r="E7"/>
      <c r="F7"/>
      <c r="G7"/>
    </row>
  </sheetData>
  <mergeCells count="1">
    <mergeCell ref="B3:G3"/>
  </mergeCell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rgb="FFFFFF00"/>
    <pageSetUpPr fitToPage="1"/>
  </sheetPr>
  <dimension ref="A1:N49"/>
  <sheetViews>
    <sheetView showGridLines="0" zoomScale="80" zoomScaleNormal="80" workbookViewId="0">
      <selection activeCell="F7" sqref="F7:H7"/>
    </sheetView>
  </sheetViews>
  <sheetFormatPr defaultRowHeight="15" x14ac:dyDescent="0.25"/>
  <cols>
    <col min="1" max="1" width="4.7109375" style="1" customWidth="1"/>
    <col min="2" max="2" width="36.42578125" style="1" customWidth="1"/>
    <col min="3" max="3" width="34.140625" style="1" customWidth="1"/>
    <col min="4" max="4" width="21.42578125" style="1" customWidth="1"/>
    <col min="5" max="5" width="15" style="1" customWidth="1"/>
    <col min="6" max="6" width="29.140625" style="1" customWidth="1"/>
    <col min="7" max="7" width="35.5703125" style="1" customWidth="1"/>
    <col min="8" max="8" width="21.85546875" style="1" customWidth="1"/>
    <col min="9" max="9" width="15.42578125" style="1" customWidth="1"/>
    <col min="10" max="10" width="4.5703125" style="1" customWidth="1"/>
    <col min="11" max="11" width="29.140625" style="1" customWidth="1"/>
    <col min="12" max="12" width="35.5703125" style="1" customWidth="1"/>
    <col min="13" max="13" width="21.85546875" style="1" customWidth="1"/>
    <col min="14" max="14" width="5.42578125" customWidth="1"/>
  </cols>
  <sheetData>
    <row r="1" spans="2:14" s="1" customFormat="1" ht="14.25" x14ac:dyDescent="0.2"/>
    <row r="2" spans="2:14" s="1" customFormat="1" ht="14.25" x14ac:dyDescent="0.2"/>
    <row r="3" spans="2:14" s="1" customFormat="1" ht="18" x14ac:dyDescent="0.25">
      <c r="B3" s="329" t="s">
        <v>0</v>
      </c>
      <c r="C3" s="329"/>
      <c r="D3" s="329"/>
      <c r="E3" s="329"/>
      <c r="F3" s="329"/>
      <c r="G3" s="329"/>
      <c r="H3" s="329"/>
    </row>
    <row r="4" spans="2:14" s="1" customFormat="1" ht="18" x14ac:dyDescent="0.25">
      <c r="B4" s="105"/>
      <c r="C4" s="105"/>
      <c r="D4" s="105"/>
    </row>
    <row r="5" spans="2:14" s="1" customFormat="1" thickBot="1" x14ac:dyDescent="0.25"/>
    <row r="6" spans="2:14" s="1" customFormat="1" ht="14.25" x14ac:dyDescent="0.2">
      <c r="J6" s="251"/>
      <c r="K6" s="252"/>
      <c r="L6" s="252"/>
      <c r="M6" s="252"/>
      <c r="N6" s="253"/>
    </row>
    <row r="7" spans="2:14" s="1" customFormat="1" x14ac:dyDescent="0.2">
      <c r="B7" s="330" t="s">
        <v>285</v>
      </c>
      <c r="C7" s="330"/>
      <c r="D7" s="330"/>
      <c r="F7" s="330" t="s">
        <v>1</v>
      </c>
      <c r="G7" s="330"/>
      <c r="H7" s="330"/>
      <c r="J7" s="254"/>
      <c r="K7" s="330" t="s">
        <v>2</v>
      </c>
      <c r="L7" s="330"/>
      <c r="M7" s="330"/>
      <c r="N7" s="256"/>
    </row>
    <row r="8" spans="2:14" s="1" customFormat="1" ht="14.25" x14ac:dyDescent="0.2">
      <c r="B8" s="331" t="s">
        <v>288</v>
      </c>
      <c r="C8" s="331"/>
      <c r="D8" s="331"/>
      <c r="F8" s="331" t="s">
        <v>289</v>
      </c>
      <c r="G8" s="331"/>
      <c r="H8" s="331"/>
      <c r="J8" s="254"/>
      <c r="K8" s="333" t="s">
        <v>3</v>
      </c>
      <c r="L8" s="333"/>
      <c r="M8" s="333"/>
      <c r="N8" s="256"/>
    </row>
    <row r="9" spans="2:14" s="1" customFormat="1" ht="14.25" x14ac:dyDescent="0.2">
      <c r="B9" s="332"/>
      <c r="C9" s="332"/>
      <c r="D9" s="332"/>
      <c r="F9" s="332"/>
      <c r="G9" s="332"/>
      <c r="H9" s="332"/>
      <c r="J9" s="254"/>
      <c r="K9" s="334"/>
      <c r="L9" s="334"/>
      <c r="M9" s="334"/>
      <c r="N9" s="256"/>
    </row>
    <row r="10" spans="2:14" s="1" customFormat="1" x14ac:dyDescent="0.2">
      <c r="B10" s="330" t="s">
        <v>4</v>
      </c>
      <c r="C10" s="330"/>
      <c r="D10" s="330"/>
      <c r="F10" s="330" t="s">
        <v>4</v>
      </c>
      <c r="G10" s="330"/>
      <c r="H10" s="330"/>
      <c r="J10" s="254"/>
      <c r="K10" s="330" t="s">
        <v>4</v>
      </c>
      <c r="L10" s="330"/>
      <c r="M10" s="330"/>
      <c r="N10" s="256"/>
    </row>
    <row r="11" spans="2:14" s="1" customFormat="1" ht="16.5" x14ac:dyDescent="0.2">
      <c r="B11" s="2" t="s">
        <v>5</v>
      </c>
      <c r="C11" s="2" t="s">
        <v>6</v>
      </c>
      <c r="D11" s="2" t="s">
        <v>7</v>
      </c>
      <c r="F11" s="2" t="s">
        <v>5</v>
      </c>
      <c r="G11" s="2" t="s">
        <v>6</v>
      </c>
      <c r="H11" s="2" t="s">
        <v>7</v>
      </c>
      <c r="J11" s="254"/>
      <c r="K11" s="2" t="s">
        <v>5</v>
      </c>
      <c r="L11" s="2" t="s">
        <v>6</v>
      </c>
      <c r="M11" s="2" t="s">
        <v>7</v>
      </c>
      <c r="N11" s="256"/>
    </row>
    <row r="12" spans="2:14" s="1" customFormat="1" ht="14.25" x14ac:dyDescent="0.2">
      <c r="B12" s="106" t="s">
        <v>8</v>
      </c>
      <c r="C12" s="107">
        <v>2.21</v>
      </c>
      <c r="D12" s="107">
        <v>2.95</v>
      </c>
      <c r="E12" s="108"/>
      <c r="F12" s="106" t="s">
        <v>8</v>
      </c>
      <c r="G12" s="107">
        <f t="shared" ref="G12:H17" si="0">C12*(1+$D$25)</f>
        <v>2.2305863959102323</v>
      </c>
      <c r="H12" s="107">
        <f t="shared" si="0"/>
        <v>2.9774795782512151</v>
      </c>
      <c r="J12" s="254"/>
      <c r="K12" s="106" t="s">
        <v>8</v>
      </c>
      <c r="L12" s="107">
        <f t="shared" ref="L12:M17" si="1">G12*(1+$H$27)</f>
        <v>2.3554568449803517</v>
      </c>
      <c r="M12" s="107">
        <f t="shared" si="1"/>
        <v>3.1441618518968499</v>
      </c>
      <c r="N12" s="256"/>
    </row>
    <row r="13" spans="2:14" s="1" customFormat="1" ht="14.25" x14ac:dyDescent="0.2">
      <c r="B13" s="106" t="s">
        <v>9</v>
      </c>
      <c r="C13" s="107">
        <v>4.13</v>
      </c>
      <c r="D13" s="107">
        <v>5.47</v>
      </c>
      <c r="F13" s="106" t="s">
        <v>9</v>
      </c>
      <c r="G13" s="107">
        <f t="shared" si="0"/>
        <v>4.1684714095517013</v>
      </c>
      <c r="H13" s="107">
        <f t="shared" si="0"/>
        <v>5.5209536586556425</v>
      </c>
      <c r="J13" s="254"/>
      <c r="K13" s="106" t="s">
        <v>9</v>
      </c>
      <c r="L13" s="107">
        <f t="shared" si="1"/>
        <v>4.4018265926555902</v>
      </c>
      <c r="M13" s="107">
        <f t="shared" si="1"/>
        <v>5.8300221457205987</v>
      </c>
      <c r="N13" s="256"/>
    </row>
    <row r="14" spans="2:14" s="1" customFormat="1" ht="14.25" x14ac:dyDescent="0.2">
      <c r="B14" s="106" t="s">
        <v>10</v>
      </c>
      <c r="C14" s="107">
        <v>5.41</v>
      </c>
      <c r="D14" s="107">
        <v>6.99</v>
      </c>
      <c r="F14" s="106" t="s">
        <v>10</v>
      </c>
      <c r="G14" s="107">
        <f t="shared" si="0"/>
        <v>5.4603947519793472</v>
      </c>
      <c r="H14" s="107">
        <f t="shared" si="0"/>
        <v>7.055112627788473</v>
      </c>
      <c r="J14" s="254"/>
      <c r="K14" s="106" t="s">
        <v>10</v>
      </c>
      <c r="L14" s="107">
        <f t="shared" si="1"/>
        <v>5.7660730911057483</v>
      </c>
      <c r="M14" s="107">
        <f t="shared" si="1"/>
        <v>7.4500648626301631</v>
      </c>
      <c r="N14" s="256"/>
    </row>
    <row r="15" spans="2:14" s="1" customFormat="1" ht="14.25" x14ac:dyDescent="0.2">
      <c r="B15" s="106" t="s">
        <v>11</v>
      </c>
      <c r="C15" s="107">
        <v>10.33</v>
      </c>
      <c r="D15" s="107">
        <v>11.3</v>
      </c>
      <c r="F15" s="106" t="s">
        <v>11</v>
      </c>
      <c r="G15" s="107">
        <f t="shared" si="0"/>
        <v>10.42622509943561</v>
      </c>
      <c r="H15" s="107">
        <f t="shared" si="0"/>
        <v>11.405260757369062</v>
      </c>
      <c r="J15" s="254"/>
      <c r="K15" s="106" t="s">
        <v>11</v>
      </c>
      <c r="L15" s="107">
        <f t="shared" si="1"/>
        <v>11.009895569523545</v>
      </c>
      <c r="M15" s="107">
        <f t="shared" si="1"/>
        <v>12.043738619130307</v>
      </c>
      <c r="N15" s="256"/>
    </row>
    <row r="16" spans="2:14" s="1" customFormat="1" ht="14.25" x14ac:dyDescent="0.2">
      <c r="B16" s="106" t="s">
        <v>12</v>
      </c>
      <c r="C16" s="107">
        <v>12.46</v>
      </c>
      <c r="D16" s="107">
        <v>12.46</v>
      </c>
      <c r="F16" s="106" t="s">
        <v>12</v>
      </c>
      <c r="G16" s="107">
        <f t="shared" si="0"/>
        <v>12.576066286444116</v>
      </c>
      <c r="H16" s="107">
        <f t="shared" si="0"/>
        <v>12.576066286444116</v>
      </c>
      <c r="J16" s="254"/>
      <c r="K16" s="106" t="s">
        <v>12</v>
      </c>
      <c r="L16" s="107">
        <f t="shared" si="1"/>
        <v>13.280087008350762</v>
      </c>
      <c r="M16" s="107">
        <f t="shared" si="1"/>
        <v>13.280087008350762</v>
      </c>
      <c r="N16" s="256"/>
    </row>
    <row r="17" spans="1:14" s="1" customFormat="1" ht="14.25" x14ac:dyDescent="0.2">
      <c r="B17" s="106" t="s">
        <v>13</v>
      </c>
      <c r="C17" s="107">
        <v>13.66</v>
      </c>
      <c r="D17" s="107">
        <v>13.66</v>
      </c>
      <c r="F17" s="106" t="s">
        <v>13</v>
      </c>
      <c r="G17" s="107">
        <f t="shared" si="0"/>
        <v>13.787244419970033</v>
      </c>
      <c r="H17" s="107">
        <f t="shared" si="0"/>
        <v>13.787244419970033</v>
      </c>
      <c r="J17" s="254"/>
      <c r="K17" s="106" t="s">
        <v>13</v>
      </c>
      <c r="L17" s="107">
        <f t="shared" si="1"/>
        <v>14.559068100647785</v>
      </c>
      <c r="M17" s="107">
        <f t="shared" si="1"/>
        <v>14.559068100647785</v>
      </c>
      <c r="N17" s="256"/>
    </row>
    <row r="18" spans="1:14" s="1" customFormat="1" ht="14.25" x14ac:dyDescent="0.2">
      <c r="J18" s="254"/>
      <c r="K18" s="258"/>
      <c r="L18" s="258"/>
      <c r="M18" s="258"/>
      <c r="N18" s="256"/>
    </row>
    <row r="19" spans="1:14" s="1" customFormat="1" x14ac:dyDescent="0.2">
      <c r="B19" s="330" t="s">
        <v>14</v>
      </c>
      <c r="C19" s="330"/>
      <c r="D19" s="330"/>
      <c r="F19" s="330" t="s">
        <v>14</v>
      </c>
      <c r="G19" s="330"/>
      <c r="H19" s="330"/>
      <c r="J19" s="254"/>
      <c r="K19" s="330" t="s">
        <v>14</v>
      </c>
      <c r="L19" s="330"/>
      <c r="M19" s="330"/>
      <c r="N19" s="256"/>
    </row>
    <row r="20" spans="1:14" s="1" customFormat="1" ht="17.25" x14ac:dyDescent="0.2">
      <c r="B20" s="2" t="s">
        <v>5</v>
      </c>
      <c r="C20" s="2" t="s">
        <v>15</v>
      </c>
      <c r="D20" s="2" t="s">
        <v>16</v>
      </c>
      <c r="F20" s="2" t="s">
        <v>5</v>
      </c>
      <c r="G20" s="2" t="s">
        <v>15</v>
      </c>
      <c r="H20" s="2" t="s">
        <v>16</v>
      </c>
      <c r="J20" s="254"/>
      <c r="K20" s="2" t="s">
        <v>17</v>
      </c>
      <c r="L20" s="2" t="s">
        <v>15</v>
      </c>
      <c r="M20" s="2" t="s">
        <v>16</v>
      </c>
      <c r="N20" s="256"/>
    </row>
    <row r="21" spans="1:14" s="1" customFormat="1" ht="14.25" x14ac:dyDescent="0.2">
      <c r="B21" s="106" t="s">
        <v>8</v>
      </c>
      <c r="C21" s="107">
        <v>7.48</v>
      </c>
      <c r="D21" s="107">
        <v>7.48</v>
      </c>
      <c r="F21" s="106" t="s">
        <v>8</v>
      </c>
      <c r="G21" s="107">
        <f>C21*(1+$D$25)</f>
        <v>7.5496770323115561</v>
      </c>
      <c r="H21" s="107">
        <f>D21*(1+$D$25)</f>
        <v>7.5496770323115561</v>
      </c>
      <c r="J21" s="254"/>
      <c r="K21" s="106" t="s">
        <v>8</v>
      </c>
      <c r="L21" s="109">
        <f>G21*(1+$H$27)</f>
        <v>7.9723154753181147</v>
      </c>
      <c r="M21" s="109">
        <f>H21*(1+$H$27)</f>
        <v>7.9723154753181147</v>
      </c>
      <c r="N21" s="256"/>
    </row>
    <row r="22" spans="1:14" s="1" customFormat="1" ht="14.25" x14ac:dyDescent="0.2">
      <c r="B22" s="106" t="s">
        <v>18</v>
      </c>
      <c r="C22" s="107">
        <v>12.37</v>
      </c>
      <c r="D22" s="107">
        <v>11.28</v>
      </c>
      <c r="F22" s="106" t="s">
        <v>18</v>
      </c>
      <c r="G22" s="107">
        <f>C22*(1+$D$25)</f>
        <v>12.485227926429671</v>
      </c>
      <c r="H22" s="107">
        <f>D22*(1+$D$25)</f>
        <v>11.385074455143629</v>
      </c>
      <c r="J22" s="254"/>
      <c r="K22" s="106" t="s">
        <v>18</v>
      </c>
      <c r="L22" s="109">
        <f>G22*(1+$H$27)</f>
        <v>13.184163426428485</v>
      </c>
      <c r="M22" s="109">
        <f>H22*(1+$H$27)</f>
        <v>12.022422267592022</v>
      </c>
      <c r="N22" s="256"/>
    </row>
    <row r="23" spans="1:14" s="1" customFormat="1" ht="15.75" thickBot="1" x14ac:dyDescent="0.3">
      <c r="B23" s="165" t="s">
        <v>286</v>
      </c>
      <c r="F23" s="165" t="s">
        <v>19</v>
      </c>
      <c r="J23" s="255"/>
      <c r="K23" s="259"/>
      <c r="L23" s="259"/>
      <c r="M23" s="259"/>
      <c r="N23" s="257"/>
    </row>
    <row r="24" spans="1:14" s="1" customFormat="1" ht="15" customHeight="1" x14ac:dyDescent="0.2">
      <c r="B24" s="244" t="s">
        <v>294</v>
      </c>
      <c r="F24" s="337" t="s">
        <v>290</v>
      </c>
      <c r="G24" s="337"/>
      <c r="H24" s="337"/>
    </row>
    <row r="25" spans="1:14" s="1" customFormat="1" ht="15" customHeight="1" x14ac:dyDescent="0.2">
      <c r="B25" s="335" t="s">
        <v>287</v>
      </c>
      <c r="C25" s="336"/>
      <c r="D25" s="111">
        <v>9.315111271598342E-3</v>
      </c>
      <c r="F25" s="337"/>
      <c r="G25" s="337"/>
      <c r="H25" s="337"/>
    </row>
    <row r="26" spans="1:14" s="110" customFormat="1" ht="14.25" x14ac:dyDescent="0.25"/>
    <row r="27" spans="1:14" x14ac:dyDescent="0.25">
      <c r="A27"/>
      <c r="C27" s="112"/>
      <c r="D27" s="112"/>
      <c r="E27" s="113"/>
      <c r="F27" s="335" t="s">
        <v>20</v>
      </c>
      <c r="G27" s="336"/>
      <c r="H27" s="111">
        <f>'IRT 2019'!D33</f>
        <v>5.5980996431731489E-2</v>
      </c>
      <c r="I27"/>
      <c r="J27"/>
      <c r="M27" s="260"/>
    </row>
    <row r="28" spans="1:14" x14ac:dyDescent="0.25">
      <c r="A28"/>
      <c r="E28" s="113"/>
      <c r="I28"/>
      <c r="J28"/>
      <c r="M28" s="6"/>
    </row>
    <row r="29" spans="1:14" x14ac:dyDescent="0.25">
      <c r="A29"/>
      <c r="B29" s="330" t="s">
        <v>291</v>
      </c>
      <c r="C29" s="330"/>
      <c r="D29" s="330"/>
      <c r="E29" s="113"/>
      <c r="I29"/>
      <c r="J29"/>
      <c r="L29" s="263"/>
      <c r="M29" s="264"/>
    </row>
    <row r="30" spans="1:14" x14ac:dyDescent="0.25">
      <c r="A30"/>
      <c r="B30" s="331" t="s">
        <v>293</v>
      </c>
      <c r="C30" s="331"/>
      <c r="D30" s="331"/>
      <c r="E30" s="113"/>
      <c r="I30"/>
      <c r="J30"/>
      <c r="K30"/>
    </row>
    <row r="31" spans="1:14" x14ac:dyDescent="0.25">
      <c r="A31"/>
      <c r="B31" s="332"/>
      <c r="C31" s="332"/>
      <c r="D31" s="332"/>
      <c r="E31" s="113"/>
      <c r="I31"/>
      <c r="J31"/>
      <c r="K31"/>
      <c r="M31" s="262"/>
    </row>
    <row r="32" spans="1:14" x14ac:dyDescent="0.25">
      <c r="A32"/>
      <c r="B32" s="330" t="s">
        <v>4</v>
      </c>
      <c r="C32" s="330"/>
      <c r="D32" s="330"/>
      <c r="E32" s="113"/>
      <c r="I32"/>
      <c r="J32"/>
      <c r="K32"/>
      <c r="M32" s="262"/>
    </row>
    <row r="33" spans="1:13" ht="16.5" x14ac:dyDescent="0.25">
      <c r="A33"/>
      <c r="B33" s="2" t="s">
        <v>5</v>
      </c>
      <c r="C33" s="2" t="s">
        <v>6</v>
      </c>
      <c r="D33" s="2" t="s">
        <v>7</v>
      </c>
      <c r="E33" s="113"/>
      <c r="I33"/>
      <c r="J33"/>
      <c r="K33"/>
      <c r="L33" s="263"/>
      <c r="M33" s="264"/>
    </row>
    <row r="34" spans="1:13" ht="15" customHeight="1" x14ac:dyDescent="0.25">
      <c r="A34"/>
      <c r="B34" s="106" t="s">
        <v>8</v>
      </c>
      <c r="C34" s="107">
        <f>C12*(1+0.0299151112715983)</f>
        <v>2.2761123959102321</v>
      </c>
      <c r="D34" s="107">
        <f t="shared" ref="D34:D39" si="2">D12*(1+0.0299151112715983)</f>
        <v>3.0382495782512153</v>
      </c>
      <c r="E34" s="113"/>
      <c r="I34"/>
      <c r="J34"/>
    </row>
    <row r="35" spans="1:13" x14ac:dyDescent="0.25">
      <c r="A35"/>
      <c r="B35" s="106" t="s">
        <v>9</v>
      </c>
      <c r="C35" s="107">
        <f t="shared" ref="C35" si="3">C13*(1+0.0299151112715983)</f>
        <v>4.2535494095517006</v>
      </c>
      <c r="D35" s="107">
        <f t="shared" si="2"/>
        <v>5.633635658655642</v>
      </c>
      <c r="E35" s="113"/>
      <c r="I35"/>
      <c r="J35"/>
    </row>
    <row r="36" spans="1:13" x14ac:dyDescent="0.25">
      <c r="A36"/>
      <c r="B36" s="106" t="s">
        <v>10</v>
      </c>
      <c r="C36" s="107">
        <f t="shared" ref="C36" si="4">C14*(1+0.0299151112715983)</f>
        <v>5.5718407519793471</v>
      </c>
      <c r="D36" s="107">
        <f t="shared" si="2"/>
        <v>7.1991066277884723</v>
      </c>
      <c r="E36" s="113"/>
      <c r="I36"/>
      <c r="J36"/>
    </row>
    <row r="37" spans="1:13" x14ac:dyDescent="0.25">
      <c r="B37" s="106" t="s">
        <v>11</v>
      </c>
      <c r="C37" s="107">
        <f t="shared" ref="C37" si="5">C15*(1+0.0299151112715983)</f>
        <v>10.63902309943561</v>
      </c>
      <c r="D37" s="107">
        <f t="shared" si="2"/>
        <v>11.638040757369062</v>
      </c>
      <c r="I37"/>
      <c r="J37"/>
    </row>
    <row r="38" spans="1:13" x14ac:dyDescent="0.25">
      <c r="B38" s="106" t="s">
        <v>12</v>
      </c>
      <c r="C38" s="107">
        <f t="shared" ref="C38" si="6">C16*(1+0.0299151112715983)</f>
        <v>12.832742286444116</v>
      </c>
      <c r="D38" s="107">
        <f t="shared" si="2"/>
        <v>12.832742286444116</v>
      </c>
    </row>
    <row r="39" spans="1:13" x14ac:dyDescent="0.25">
      <c r="A39"/>
      <c r="B39" s="106" t="s">
        <v>13</v>
      </c>
      <c r="C39" s="107">
        <f t="shared" ref="C39" si="7">C17*(1+0.0299151112715983)</f>
        <v>14.068640419970032</v>
      </c>
      <c r="D39" s="107">
        <f t="shared" si="2"/>
        <v>14.068640419970032</v>
      </c>
      <c r="E39"/>
      <c r="I39"/>
      <c r="J39"/>
    </row>
    <row r="40" spans="1:13" x14ac:dyDescent="0.25">
      <c r="A40"/>
      <c r="E40"/>
      <c r="I40"/>
      <c r="J40"/>
    </row>
    <row r="41" spans="1:13" x14ac:dyDescent="0.25">
      <c r="A41"/>
      <c r="B41" s="330" t="s">
        <v>14</v>
      </c>
      <c r="C41" s="330"/>
      <c r="D41" s="330"/>
      <c r="E41"/>
      <c r="I41"/>
      <c r="J41"/>
    </row>
    <row r="42" spans="1:13" ht="17.25" x14ac:dyDescent="0.25">
      <c r="A42"/>
      <c r="B42" s="2" t="s">
        <v>17</v>
      </c>
      <c r="C42" s="2" t="s">
        <v>15</v>
      </c>
      <c r="D42" s="2" t="s">
        <v>16</v>
      </c>
      <c r="E42"/>
      <c r="I42"/>
      <c r="J42"/>
    </row>
    <row r="43" spans="1:13" x14ac:dyDescent="0.25">
      <c r="A43"/>
      <c r="B43" s="106" t="s">
        <v>8</v>
      </c>
      <c r="C43" s="107">
        <f t="shared" ref="C43:D43" si="8">C21*(1+0.0299151112715983)</f>
        <v>7.7037650323115558</v>
      </c>
      <c r="D43" s="107">
        <f t="shared" si="8"/>
        <v>7.7037650323115558</v>
      </c>
      <c r="E43"/>
      <c r="I43"/>
      <c r="J43"/>
    </row>
    <row r="44" spans="1:13" x14ac:dyDescent="0.25">
      <c r="A44"/>
      <c r="B44" s="106" t="s">
        <v>18</v>
      </c>
      <c r="C44" s="107">
        <f t="shared" ref="C44:D44" si="9">C22*(1+0.0299151112715983)</f>
        <v>12.74004992642967</v>
      </c>
      <c r="D44" s="107">
        <f t="shared" si="9"/>
        <v>11.617442455143628</v>
      </c>
      <c r="E44"/>
      <c r="I44"/>
      <c r="J44"/>
    </row>
    <row r="45" spans="1:13" x14ac:dyDescent="0.25">
      <c r="A45"/>
      <c r="B45" s="243" t="s">
        <v>292</v>
      </c>
      <c r="E45"/>
      <c r="I45"/>
      <c r="J45"/>
    </row>
    <row r="46" spans="1:13" x14ac:dyDescent="0.25">
      <c r="A46"/>
      <c r="E46"/>
      <c r="F46"/>
      <c r="G46"/>
      <c r="H46"/>
      <c r="I46"/>
      <c r="J46"/>
    </row>
    <row r="47" spans="1:13" x14ac:dyDescent="0.25">
      <c r="A47"/>
      <c r="E47"/>
      <c r="F47"/>
      <c r="G47"/>
      <c r="H47"/>
      <c r="I47"/>
      <c r="J47"/>
    </row>
    <row r="48" spans="1:13" x14ac:dyDescent="0.25">
      <c r="A48"/>
      <c r="E48"/>
      <c r="F48"/>
      <c r="G48"/>
      <c r="H48"/>
      <c r="I48"/>
      <c r="J48"/>
    </row>
    <row r="49" spans="1:10" x14ac:dyDescent="0.25">
      <c r="A49"/>
      <c r="E49"/>
      <c r="F49"/>
      <c r="G49"/>
      <c r="H49"/>
      <c r="I49"/>
      <c r="J49"/>
    </row>
  </sheetData>
  <mergeCells count="20">
    <mergeCell ref="F24:H25"/>
    <mergeCell ref="B29:D29"/>
    <mergeCell ref="B30:D31"/>
    <mergeCell ref="B32:D32"/>
    <mergeCell ref="F27:G27"/>
    <mergeCell ref="B41:D41"/>
    <mergeCell ref="B7:D7"/>
    <mergeCell ref="B8:D9"/>
    <mergeCell ref="B10:D10"/>
    <mergeCell ref="B19:D19"/>
    <mergeCell ref="B25:C25"/>
    <mergeCell ref="B3:H3"/>
    <mergeCell ref="F10:H10"/>
    <mergeCell ref="K10:M10"/>
    <mergeCell ref="F19:H19"/>
    <mergeCell ref="K19:M19"/>
    <mergeCell ref="F8:H9"/>
    <mergeCell ref="K7:M7"/>
    <mergeCell ref="K8:M9"/>
    <mergeCell ref="F7:H7"/>
  </mergeCells>
  <hyperlinks>
    <hyperlink ref="F23" r:id="rId1" xr:uid="{00000000-0004-0000-0000-000000000000}"/>
    <hyperlink ref="B23" r:id="rId2" xr:uid="{8D4CC999-BDD2-438C-92DA-EB49D4BAF40F}"/>
  </hyperlinks>
  <pageMargins left="0.511811024" right="0.511811024" top="0.78740157499999996" bottom="0.78740157499999996" header="0.31496062000000002" footer="0.31496062000000002"/>
  <pageSetup scale="31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>
    <tabColor theme="5"/>
  </sheetPr>
  <dimension ref="A2:M26"/>
  <sheetViews>
    <sheetView showGridLines="0" zoomScale="85" zoomScaleNormal="85" workbookViewId="0">
      <selection activeCell="N12" sqref="N12"/>
    </sheetView>
  </sheetViews>
  <sheetFormatPr defaultRowHeight="15" x14ac:dyDescent="0.25"/>
  <cols>
    <col min="1" max="1" width="52" style="26" customWidth="1"/>
    <col min="2" max="2" width="15.5703125" style="26" customWidth="1"/>
    <col min="3" max="3" width="15.42578125" style="26" customWidth="1"/>
    <col min="4" max="4" width="15.85546875" style="26" customWidth="1"/>
    <col min="5" max="5" width="16" style="26" customWidth="1"/>
    <col min="6" max="6" width="16.42578125" style="26" customWidth="1"/>
    <col min="7" max="7" width="16.85546875" style="26" customWidth="1"/>
    <col min="8" max="8" width="31" style="26" customWidth="1"/>
    <col min="9" max="9" width="14.42578125" style="26" customWidth="1"/>
    <col min="10" max="10" width="9.140625" style="26"/>
  </cols>
  <sheetData>
    <row r="2" spans="1:13" s="26" customFormat="1" ht="15.75" x14ac:dyDescent="0.25">
      <c r="B2" s="341" t="s">
        <v>253</v>
      </c>
      <c r="C2" s="341"/>
      <c r="D2" s="341"/>
      <c r="E2" s="341"/>
      <c r="F2" s="341"/>
      <c r="G2" s="341"/>
      <c r="H2" s="341"/>
      <c r="I2" s="341"/>
    </row>
    <row r="3" spans="1:13" s="26" customFormat="1" ht="38.25" x14ac:dyDescent="0.2">
      <c r="B3" s="27" t="s">
        <v>254</v>
      </c>
      <c r="D3" s="28"/>
      <c r="E3" s="28"/>
      <c r="F3" s="29"/>
      <c r="G3" s="342" t="s">
        <v>255</v>
      </c>
      <c r="H3" s="30" t="s">
        <v>256</v>
      </c>
      <c r="I3" s="31">
        <v>30647</v>
      </c>
    </row>
    <row r="4" spans="1:13" s="26" customFormat="1" ht="38.25" x14ac:dyDescent="0.2">
      <c r="B4" s="344" t="s">
        <v>257</v>
      </c>
      <c r="C4" s="344" t="s">
        <v>258</v>
      </c>
      <c r="D4" s="228" t="s">
        <v>259</v>
      </c>
      <c r="E4" s="342" t="s">
        <v>260</v>
      </c>
      <c r="F4" s="342" t="s">
        <v>261</v>
      </c>
      <c r="G4" s="343"/>
      <c r="H4" s="32" t="s">
        <v>262</v>
      </c>
      <c r="I4" s="31">
        <v>383</v>
      </c>
      <c r="J4" s="33"/>
    </row>
    <row r="5" spans="1:13" s="26" customFormat="1" ht="25.5" x14ac:dyDescent="0.2">
      <c r="B5" s="345"/>
      <c r="C5" s="345"/>
      <c r="D5" s="31">
        <v>383</v>
      </c>
      <c r="E5" s="343"/>
      <c r="F5" s="343"/>
      <c r="G5" s="343"/>
      <c r="H5" s="32" t="s">
        <v>263</v>
      </c>
      <c r="I5" s="31">
        <v>145599</v>
      </c>
      <c r="K5" s="33"/>
    </row>
    <row r="6" spans="1:13" s="26" customFormat="1" ht="18" hidden="1" x14ac:dyDescent="0.2">
      <c r="B6" s="35"/>
      <c r="C6" s="345"/>
      <c r="D6" s="36"/>
      <c r="E6" s="343"/>
      <c r="F6" s="37"/>
      <c r="G6" s="38"/>
      <c r="H6" s="30"/>
      <c r="I6" s="39"/>
    </row>
    <row r="7" spans="1:13" s="26" customFormat="1" ht="38.25" x14ac:dyDescent="0.2">
      <c r="B7" s="34">
        <v>0</v>
      </c>
      <c r="C7" s="345"/>
      <c r="D7" s="342" t="s">
        <v>264</v>
      </c>
      <c r="E7" s="343"/>
      <c r="F7" s="40">
        <f>I4+I5+I7</f>
        <v>146275</v>
      </c>
      <c r="G7" s="230">
        <f>I3+I4+I5+I7</f>
        <v>176922</v>
      </c>
      <c r="H7" s="32" t="s">
        <v>265</v>
      </c>
      <c r="I7" s="31">
        <v>293</v>
      </c>
    </row>
    <row r="8" spans="1:13" s="26" customFormat="1" ht="63.75" x14ac:dyDescent="0.2">
      <c r="B8" s="344" t="s">
        <v>266</v>
      </c>
      <c r="C8" s="345"/>
      <c r="D8" s="343"/>
      <c r="E8" s="343"/>
      <c r="F8" s="227" t="s">
        <v>267</v>
      </c>
      <c r="G8" s="342" t="s">
        <v>268</v>
      </c>
      <c r="H8" s="32" t="s">
        <v>269</v>
      </c>
      <c r="I8" s="31">
        <v>770</v>
      </c>
    </row>
    <row r="9" spans="1:13" s="26" customFormat="1" ht="38.25" x14ac:dyDescent="0.2">
      <c r="B9" s="345"/>
      <c r="C9" s="345"/>
      <c r="D9" s="343"/>
      <c r="E9" s="40">
        <f>F7+F9</f>
        <v>148501</v>
      </c>
      <c r="F9" s="40">
        <f>I8+I9</f>
        <v>2226</v>
      </c>
      <c r="G9" s="343"/>
      <c r="H9" s="32" t="s">
        <v>270</v>
      </c>
      <c r="I9" s="31">
        <v>1456</v>
      </c>
      <c r="M9" s="33"/>
    </row>
    <row r="10" spans="1:13" s="26" customFormat="1" ht="38.25" x14ac:dyDescent="0.2">
      <c r="B10" s="345"/>
      <c r="C10" s="345"/>
      <c r="D10" s="343"/>
      <c r="E10" s="342" t="s">
        <v>271</v>
      </c>
      <c r="F10" s="227" t="s">
        <v>272</v>
      </c>
      <c r="G10" s="343"/>
      <c r="H10" s="32" t="s">
        <v>273</v>
      </c>
      <c r="I10" s="31">
        <v>10900</v>
      </c>
    </row>
    <row r="11" spans="1:13" s="26" customFormat="1" ht="38.25" x14ac:dyDescent="0.2">
      <c r="B11" s="345"/>
      <c r="C11" s="345"/>
      <c r="D11" s="343"/>
      <c r="E11" s="343"/>
      <c r="F11" s="41">
        <f>I10+I11</f>
        <v>24767</v>
      </c>
      <c r="G11" s="343"/>
      <c r="H11" s="32" t="s">
        <v>274</v>
      </c>
      <c r="I11" s="31">
        <v>13867</v>
      </c>
    </row>
    <row r="12" spans="1:13" s="26" customFormat="1" ht="25.5" x14ac:dyDescent="0.2">
      <c r="B12" s="345"/>
      <c r="C12" s="345"/>
      <c r="D12" s="343"/>
      <c r="E12" s="343"/>
      <c r="F12" s="342" t="s">
        <v>275</v>
      </c>
      <c r="G12" s="38"/>
      <c r="H12" s="32" t="s">
        <v>276</v>
      </c>
      <c r="I12" s="31">
        <v>7903</v>
      </c>
      <c r="K12" s="42"/>
    </row>
    <row r="13" spans="1:13" s="26" customFormat="1" ht="38.25" x14ac:dyDescent="0.25">
      <c r="B13" s="346">
        <v>225944</v>
      </c>
      <c r="C13" s="352">
        <f>B7+B13</f>
        <v>225944</v>
      </c>
      <c r="D13" s="348">
        <f>C13-D5</f>
        <v>225561</v>
      </c>
      <c r="E13" s="348">
        <f>C13-E9</f>
        <v>77443</v>
      </c>
      <c r="F13" s="343"/>
      <c r="G13" s="350">
        <f>F9+F11+F14</f>
        <v>79669</v>
      </c>
      <c r="H13" s="32" t="s">
        <v>277</v>
      </c>
      <c r="I13" s="31">
        <v>2632</v>
      </c>
      <c r="K13" s="43"/>
    </row>
    <row r="14" spans="1:13" s="26" customFormat="1" ht="38.25" x14ac:dyDescent="0.2">
      <c r="B14" s="347"/>
      <c r="C14" s="353"/>
      <c r="D14" s="349"/>
      <c r="E14" s="349"/>
      <c r="F14" s="229">
        <f>E13-F11</f>
        <v>52676</v>
      </c>
      <c r="G14" s="351"/>
      <c r="H14" s="32" t="s">
        <v>278</v>
      </c>
      <c r="I14" s="31">
        <v>42140</v>
      </c>
    </row>
    <row r="15" spans="1:13" s="44" customFormat="1" ht="18" x14ac:dyDescent="0.25">
      <c r="B15" s="7" t="s">
        <v>202</v>
      </c>
    </row>
    <row r="16" spans="1:13" ht="18" x14ac:dyDescent="0.25">
      <c r="A16" s="44"/>
      <c r="B16" s="139" t="s">
        <v>279</v>
      </c>
      <c r="C16" s="44"/>
      <c r="D16" s="44"/>
      <c r="E16" s="44"/>
      <c r="F16" s="44"/>
      <c r="G16" s="44"/>
      <c r="H16" s="44"/>
      <c r="I16" s="44"/>
      <c r="J16" s="44"/>
    </row>
    <row r="17" spans="2:7" x14ac:dyDescent="0.25">
      <c r="B17" s="139" t="s">
        <v>280</v>
      </c>
    </row>
    <row r="18" spans="2:7" x14ac:dyDescent="0.25">
      <c r="B18" s="139" t="s">
        <v>281</v>
      </c>
    </row>
    <row r="19" spans="2:7" x14ac:dyDescent="0.25">
      <c r="B19" s="139" t="s">
        <v>282</v>
      </c>
    </row>
    <row r="21" spans="2:7" ht="16.5" thickBot="1" x14ac:dyDescent="0.3">
      <c r="B21" s="140" t="s">
        <v>283</v>
      </c>
    </row>
    <row r="22" spans="2:7" x14ac:dyDescent="0.25">
      <c r="G22" s="338">
        <f>(C13-E9)/C13</f>
        <v>0.34275307155755408</v>
      </c>
    </row>
    <row r="23" spans="2:7" x14ac:dyDescent="0.25">
      <c r="G23" s="339"/>
    </row>
    <row r="24" spans="2:7" x14ac:dyDescent="0.25">
      <c r="G24" s="339"/>
    </row>
    <row r="25" spans="2:7" x14ac:dyDescent="0.25">
      <c r="G25" s="339"/>
    </row>
    <row r="26" spans="2:7" ht="15.75" thickBot="1" x14ac:dyDescent="0.3">
      <c r="G26" s="340"/>
    </row>
  </sheetData>
  <mergeCells count="17">
    <mergeCell ref="C13:C14"/>
    <mergeCell ref="G22:G26"/>
    <mergeCell ref="B2:I2"/>
    <mergeCell ref="G3:G5"/>
    <mergeCell ref="B4:B5"/>
    <mergeCell ref="C4:C12"/>
    <mergeCell ref="E4:E8"/>
    <mergeCell ref="F4:F5"/>
    <mergeCell ref="D7:D12"/>
    <mergeCell ref="B8:B12"/>
    <mergeCell ref="G8:G11"/>
    <mergeCell ref="E10:E12"/>
    <mergeCell ref="F12:F13"/>
    <mergeCell ref="B13:B14"/>
    <mergeCell ref="D13:D14"/>
    <mergeCell ref="E13:E14"/>
    <mergeCell ref="G13:G1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>
    <tabColor rgb="FF00B050"/>
    <pageSetUpPr fitToPage="1"/>
  </sheetPr>
  <dimension ref="B3:L35"/>
  <sheetViews>
    <sheetView showGridLines="0" zoomScale="80" zoomScaleNormal="80" workbookViewId="0">
      <selection activeCell="B2" sqref="B2"/>
    </sheetView>
  </sheetViews>
  <sheetFormatPr defaultColWidth="20" defaultRowHeight="14.25" x14ac:dyDescent="0.2"/>
  <cols>
    <col min="1" max="1" width="7.5703125" style="1" customWidth="1"/>
    <col min="2" max="2" width="26.85546875" style="1" customWidth="1"/>
    <col min="3" max="3" width="20.5703125" style="1" customWidth="1"/>
    <col min="4" max="4" width="17.28515625" style="1" bestFit="1" customWidth="1"/>
    <col min="5" max="5" width="19.85546875" style="1" customWidth="1"/>
    <col min="6" max="6" width="7.5703125" style="1" customWidth="1"/>
    <col min="7" max="7" width="34" style="1" customWidth="1"/>
    <col min="8" max="8" width="24.5703125" style="1" bestFit="1" customWidth="1"/>
    <col min="9" max="9" width="20" style="1" bestFit="1" customWidth="1"/>
    <col min="10" max="10" width="22" style="1" customWidth="1"/>
    <col min="11" max="11" width="24.5703125" style="1" bestFit="1" customWidth="1"/>
    <col min="12" max="12" width="20" style="1" bestFit="1" customWidth="1"/>
    <col min="13" max="13" width="16" style="1" customWidth="1"/>
    <col min="14" max="14" width="18.7109375" style="1" customWidth="1"/>
    <col min="15" max="15" width="11" style="1" customWidth="1"/>
    <col min="16" max="17" width="12.28515625" style="1" customWidth="1"/>
    <col min="18" max="18" width="13.140625" style="1" customWidth="1"/>
    <col min="19" max="26" width="0" style="1" hidden="1" customWidth="1"/>
    <col min="27" max="16384" width="20" style="1"/>
  </cols>
  <sheetData>
    <row r="3" spans="2:12" ht="18" x14ac:dyDescent="0.2">
      <c r="C3" s="269" t="s">
        <v>232</v>
      </c>
      <c r="D3" s="269"/>
      <c r="E3" s="269"/>
    </row>
    <row r="7" spans="2:12" ht="15" x14ac:dyDescent="0.25">
      <c r="B7" s="270" t="s">
        <v>233</v>
      </c>
      <c r="C7" s="271"/>
      <c r="D7" s="271"/>
      <c r="E7" s="272"/>
      <c r="G7" s="273" t="s">
        <v>234</v>
      </c>
      <c r="H7" s="274"/>
      <c r="I7" s="274"/>
      <c r="J7" s="274"/>
      <c r="K7" s="274"/>
      <c r="L7" s="274"/>
    </row>
    <row r="8" spans="2:12" x14ac:dyDescent="0.2">
      <c r="B8" s="2" t="s">
        <v>235</v>
      </c>
      <c r="C8" s="2" t="s">
        <v>236</v>
      </c>
      <c r="D8" s="221" t="s">
        <v>237</v>
      </c>
      <c r="E8" s="221" t="s">
        <v>238</v>
      </c>
      <c r="G8" s="63" t="s">
        <v>235</v>
      </c>
      <c r="H8" s="64" t="s">
        <v>239</v>
      </c>
      <c r="I8" s="65" t="s">
        <v>240</v>
      </c>
      <c r="J8" s="63" t="s">
        <v>235</v>
      </c>
      <c r="K8" s="64" t="s">
        <v>239</v>
      </c>
      <c r="L8" s="65" t="s">
        <v>240</v>
      </c>
    </row>
    <row r="9" spans="2:12" x14ac:dyDescent="0.2">
      <c r="B9" s="164">
        <v>43070</v>
      </c>
      <c r="C9" s="3">
        <v>5042.92</v>
      </c>
      <c r="D9" s="3">
        <v>4916.46</v>
      </c>
      <c r="E9" s="3">
        <v>657.85900000000004</v>
      </c>
      <c r="F9" s="4"/>
      <c r="G9" s="158">
        <v>42736</v>
      </c>
      <c r="H9" s="160">
        <v>8948240.8537499979</v>
      </c>
      <c r="I9" s="160">
        <v>24123152</v>
      </c>
      <c r="J9" s="158">
        <f>EDATE(G20,1)</f>
        <v>43101</v>
      </c>
      <c r="K9" s="138">
        <v>8140625.739675005</v>
      </c>
      <c r="L9" s="138">
        <v>20383783</v>
      </c>
    </row>
    <row r="10" spans="2:12" x14ac:dyDescent="0.2">
      <c r="B10" s="164">
        <f>+B9+31</f>
        <v>43101</v>
      </c>
      <c r="C10" s="3">
        <v>5054.5200000000004</v>
      </c>
      <c r="D10" s="3">
        <v>4930.72</v>
      </c>
      <c r="E10" s="3">
        <v>662.82600000000002</v>
      </c>
      <c r="F10" s="4"/>
      <c r="G10" s="158">
        <f t="shared" ref="G10:G20" si="0">EDATE(G9,1)</f>
        <v>42767</v>
      </c>
      <c r="H10" s="160">
        <v>8226038.2874999968</v>
      </c>
      <c r="I10" s="160">
        <v>22268727</v>
      </c>
      <c r="J10" s="158">
        <f t="shared" ref="J10:J20" si="1">EDATE(J9,1)</f>
        <v>43132</v>
      </c>
      <c r="K10" s="138">
        <v>7621771.0725749973</v>
      </c>
      <c r="L10" s="138">
        <v>19803687</v>
      </c>
    </row>
    <row r="11" spans="2:12" x14ac:dyDescent="0.2">
      <c r="B11" s="164">
        <f>+B10+31</f>
        <v>43132</v>
      </c>
      <c r="C11" s="3">
        <v>5063.62</v>
      </c>
      <c r="D11" s="3">
        <v>4946.5</v>
      </c>
      <c r="E11" s="3">
        <v>663.31100000000004</v>
      </c>
      <c r="F11" s="4"/>
      <c r="G11" s="158">
        <f t="shared" si="0"/>
        <v>42795</v>
      </c>
      <c r="H11" s="160">
        <v>7666109.326425002</v>
      </c>
      <c r="I11" s="160">
        <v>19793134</v>
      </c>
      <c r="J11" s="158">
        <f t="shared" si="1"/>
        <v>43160</v>
      </c>
      <c r="K11" s="138">
        <v>7538485.5141749997</v>
      </c>
      <c r="L11" s="138">
        <v>18868568</v>
      </c>
    </row>
    <row r="12" spans="2:12" x14ac:dyDescent="0.2">
      <c r="B12" s="164">
        <f t="shared" ref="B12:B21" si="2">+B11+31</f>
        <v>43163</v>
      </c>
      <c r="C12" s="3">
        <v>5067.16</v>
      </c>
      <c r="D12" s="3">
        <v>4950.95</v>
      </c>
      <c r="E12" s="3">
        <v>667.524</v>
      </c>
      <c r="F12" s="4"/>
      <c r="G12" s="158">
        <f t="shared" si="0"/>
        <v>42826</v>
      </c>
      <c r="H12" s="160">
        <v>8271381.4886999987</v>
      </c>
      <c r="I12" s="160">
        <v>21122525</v>
      </c>
      <c r="J12" s="158">
        <f t="shared" si="1"/>
        <v>43191</v>
      </c>
      <c r="K12" s="138">
        <v>8284922.2417500038</v>
      </c>
      <c r="L12" s="138">
        <v>21019260</v>
      </c>
    </row>
    <row r="13" spans="2:12" x14ac:dyDescent="0.2">
      <c r="B13" s="164">
        <f t="shared" si="2"/>
        <v>43194</v>
      </c>
      <c r="C13" s="3">
        <v>5077.8</v>
      </c>
      <c r="D13" s="3">
        <v>4961.84</v>
      </c>
      <c r="E13" s="3">
        <v>671.327</v>
      </c>
      <c r="F13" s="4"/>
      <c r="G13" s="158">
        <f t="shared" si="0"/>
        <v>42856</v>
      </c>
      <c r="H13" s="160">
        <v>7936751.0004750043</v>
      </c>
      <c r="I13" s="160">
        <v>20401555</v>
      </c>
      <c r="J13" s="158">
        <f t="shared" si="1"/>
        <v>43221</v>
      </c>
      <c r="K13" s="138">
        <v>8103014.4929249994</v>
      </c>
      <c r="L13" s="138">
        <v>20390639</v>
      </c>
    </row>
    <row r="14" spans="2:12" x14ac:dyDescent="0.2">
      <c r="B14" s="164">
        <f t="shared" si="2"/>
        <v>43225</v>
      </c>
      <c r="C14" s="3">
        <v>5099.63</v>
      </c>
      <c r="D14" s="3">
        <v>4981.6899999999996</v>
      </c>
      <c r="E14" s="3">
        <v>680.57899999999995</v>
      </c>
      <c r="F14" s="4"/>
      <c r="G14" s="158">
        <f t="shared" si="0"/>
        <v>42887</v>
      </c>
      <c r="H14" s="160">
        <v>8337857.560724997</v>
      </c>
      <c r="I14" s="160">
        <v>20914518</v>
      </c>
      <c r="J14" s="158">
        <f t="shared" si="1"/>
        <v>43252</v>
      </c>
      <c r="K14" s="138">
        <v>8859051.7900499981</v>
      </c>
      <c r="L14" s="138">
        <v>21151897</v>
      </c>
    </row>
    <row r="15" spans="2:12" x14ac:dyDescent="0.2">
      <c r="B15" s="164">
        <f t="shared" si="2"/>
        <v>43256</v>
      </c>
      <c r="C15" s="3">
        <v>5172.55</v>
      </c>
      <c r="D15" s="3">
        <v>5044.46</v>
      </c>
      <c r="E15" s="3">
        <v>693.28700000000003</v>
      </c>
      <c r="F15" s="4"/>
      <c r="G15" s="158">
        <f t="shared" si="0"/>
        <v>42917</v>
      </c>
      <c r="H15" s="160">
        <v>8715005.6400000025</v>
      </c>
      <c r="I15" s="160">
        <v>23122221</v>
      </c>
      <c r="J15" s="158">
        <f t="shared" si="1"/>
        <v>43282</v>
      </c>
      <c r="K15" s="138">
        <v>10209243.439725</v>
      </c>
      <c r="L15" s="138">
        <v>20992407</v>
      </c>
    </row>
    <row r="16" spans="2:12" x14ac:dyDescent="0.2">
      <c r="B16" s="164">
        <f t="shared" si="2"/>
        <v>43287</v>
      </c>
      <c r="C16" s="3">
        <v>5185.4799999999996</v>
      </c>
      <c r="D16" s="3">
        <v>5061.1099999999997</v>
      </c>
      <c r="E16" s="3">
        <v>696.8</v>
      </c>
      <c r="F16" s="4"/>
      <c r="G16" s="158">
        <f t="shared" si="0"/>
        <v>42948</v>
      </c>
      <c r="H16" s="160">
        <v>8999657.4714749958</v>
      </c>
      <c r="I16" s="160">
        <v>22733087</v>
      </c>
      <c r="J16" s="158">
        <f t="shared" si="1"/>
        <v>43313</v>
      </c>
      <c r="K16" s="138">
        <v>10372972.874550004</v>
      </c>
      <c r="L16" s="138">
        <v>21999249</v>
      </c>
    </row>
    <row r="17" spans="2:12" x14ac:dyDescent="0.2">
      <c r="B17" s="164">
        <f t="shared" si="2"/>
        <v>43318</v>
      </c>
      <c r="C17" s="3">
        <v>5185.4799999999996</v>
      </c>
      <c r="D17" s="3">
        <v>5056.5600000000004</v>
      </c>
      <c r="E17" s="3">
        <v>701.67700000000002</v>
      </c>
      <c r="F17" s="4"/>
      <c r="G17" s="158">
        <f t="shared" si="0"/>
        <v>42979</v>
      </c>
      <c r="H17" s="160">
        <v>6887216.8686749991</v>
      </c>
      <c r="I17" s="160">
        <v>17112879</v>
      </c>
      <c r="J17" s="158">
        <f t="shared" si="1"/>
        <v>43344</v>
      </c>
      <c r="K17" s="138">
        <v>10985770.525950002</v>
      </c>
      <c r="L17" s="138">
        <v>22730530</v>
      </c>
    </row>
    <row r="18" spans="2:12" x14ac:dyDescent="0.2">
      <c r="B18" s="164">
        <f t="shared" si="2"/>
        <v>43349</v>
      </c>
      <c r="C18" s="3">
        <v>5201.04</v>
      </c>
      <c r="D18" s="3">
        <v>5080.83</v>
      </c>
      <c r="E18" s="3">
        <v>712.37300000000005</v>
      </c>
      <c r="F18" s="4"/>
      <c r="G18" s="158">
        <f t="shared" si="0"/>
        <v>43009</v>
      </c>
      <c r="H18" s="160">
        <v>8352229.6019249959</v>
      </c>
      <c r="I18" s="160">
        <v>20712388</v>
      </c>
      <c r="J18" s="158">
        <f t="shared" si="1"/>
        <v>43374</v>
      </c>
      <c r="K18" s="138">
        <v>11726213.361224998</v>
      </c>
      <c r="L18" s="138">
        <v>24328653</v>
      </c>
    </row>
    <row r="19" spans="2:12" x14ac:dyDescent="0.2">
      <c r="B19" s="164">
        <f t="shared" si="2"/>
        <v>43380</v>
      </c>
      <c r="C19" s="3">
        <v>5221.84</v>
      </c>
      <c r="D19" s="3">
        <v>5103.6899999999996</v>
      </c>
      <c r="E19" s="3">
        <v>718.68399999999997</v>
      </c>
      <c r="F19" s="4"/>
      <c r="G19" s="158">
        <f t="shared" si="0"/>
        <v>43040</v>
      </c>
      <c r="H19" s="160">
        <v>9025610.5194749981</v>
      </c>
      <c r="I19" s="160">
        <v>21738492</v>
      </c>
      <c r="J19" s="158">
        <f t="shared" si="1"/>
        <v>43405</v>
      </c>
      <c r="K19" s="138">
        <v>11256035.324324993</v>
      </c>
      <c r="L19" s="138">
        <v>23138674</v>
      </c>
    </row>
    <row r="20" spans="2:12" x14ac:dyDescent="0.2">
      <c r="B20" s="164">
        <f t="shared" si="2"/>
        <v>43411</v>
      </c>
      <c r="C20" s="3">
        <v>5208.79</v>
      </c>
      <c r="D20" s="3">
        <v>5092.97</v>
      </c>
      <c r="E20" s="3">
        <v>715.16600000000005</v>
      </c>
      <c r="F20" s="4"/>
      <c r="G20" s="158">
        <f t="shared" si="0"/>
        <v>43070</v>
      </c>
      <c r="H20" s="160">
        <v>8155230.690750001</v>
      </c>
      <c r="I20" s="160">
        <v>19020776</v>
      </c>
      <c r="J20" s="158">
        <f t="shared" si="1"/>
        <v>43435</v>
      </c>
      <c r="K20" s="138">
        <v>10188646.792500004</v>
      </c>
      <c r="L20" s="138">
        <v>21638930</v>
      </c>
    </row>
    <row r="21" spans="2:12" ht="15" x14ac:dyDescent="0.2">
      <c r="B21" s="164">
        <f t="shared" si="2"/>
        <v>43442</v>
      </c>
      <c r="C21" s="3">
        <v>5216.08</v>
      </c>
      <c r="D21" s="3">
        <v>5100.6099999999997</v>
      </c>
      <c r="E21" s="3">
        <v>707.44100000000003</v>
      </c>
      <c r="F21" s="4"/>
      <c r="G21" s="226" t="s">
        <v>241</v>
      </c>
      <c r="H21" s="73">
        <f>SUM(H9:H20)</f>
        <v>99521329.309874997</v>
      </c>
      <c r="I21" s="73">
        <f>SUM(I9:I20)</f>
        <v>253063454</v>
      </c>
      <c r="J21" s="226" t="s">
        <v>241</v>
      </c>
      <c r="K21" s="73">
        <f>SUM(K9:K20)</f>
        <v>113286753.169425</v>
      </c>
      <c r="L21" s="73">
        <f>SUM(L9:L20)</f>
        <v>256446277</v>
      </c>
    </row>
    <row r="22" spans="2:12" ht="17.100000000000001" customHeight="1" x14ac:dyDescent="0.2">
      <c r="B22" s="222" t="s">
        <v>242</v>
      </c>
      <c r="C22" s="5">
        <f>C21/C9-1</f>
        <v>3.433724905411939E-2</v>
      </c>
      <c r="D22" s="5">
        <f>D21/D9-1</f>
        <v>3.7455811701915476E-2</v>
      </c>
      <c r="E22" s="5">
        <f>E21/E9-1</f>
        <v>7.5368734029632511E-2</v>
      </c>
      <c r="F22" s="6"/>
      <c r="G22" s="159" t="s">
        <v>243</v>
      </c>
    </row>
    <row r="23" spans="2:12" x14ac:dyDescent="0.2">
      <c r="B23" s="7" t="s">
        <v>244</v>
      </c>
      <c r="G23" s="159" t="s">
        <v>245</v>
      </c>
    </row>
    <row r="24" spans="2:12" x14ac:dyDescent="0.2">
      <c r="G24" s="7" t="s">
        <v>202</v>
      </c>
    </row>
    <row r="26" spans="2:12" ht="15" x14ac:dyDescent="0.25">
      <c r="G26" s="275" t="s">
        <v>246</v>
      </c>
      <c r="H26" s="276"/>
      <c r="I26" s="276"/>
      <c r="J26" s="277"/>
    </row>
    <row r="27" spans="2:12" ht="15" x14ac:dyDescent="0.25">
      <c r="G27" s="223" t="s">
        <v>88</v>
      </c>
      <c r="H27" s="66" t="s">
        <v>247</v>
      </c>
      <c r="I27" s="67" t="s">
        <v>248</v>
      </c>
      <c r="J27" s="68" t="s">
        <v>249</v>
      </c>
      <c r="L27" s="16"/>
    </row>
    <row r="28" spans="2:12" x14ac:dyDescent="0.2">
      <c r="G28" s="69" t="s">
        <v>250</v>
      </c>
      <c r="H28" s="70">
        <f>+Indices_2018!K21</f>
        <v>113286753.169425</v>
      </c>
      <c r="I28" s="204">
        <f>+Indices_2018!L21</f>
        <v>256446277</v>
      </c>
      <c r="J28" s="71">
        <f>H28/I28</f>
        <v>0.44175627930611366</v>
      </c>
    </row>
    <row r="29" spans="2:12" x14ac:dyDescent="0.2">
      <c r="G29" s="69" t="s">
        <v>251</v>
      </c>
      <c r="H29" s="70">
        <f>+Indices_2018!H21</f>
        <v>99521329.309874997</v>
      </c>
      <c r="I29" s="204">
        <f>+Indices_2018!I21</f>
        <v>253063454</v>
      </c>
      <c r="J29" s="71">
        <f>H29/I29</f>
        <v>0.39326630430751569</v>
      </c>
    </row>
    <row r="30" spans="2:12" ht="15" x14ac:dyDescent="0.25">
      <c r="G30" s="266" t="s">
        <v>252</v>
      </c>
      <c r="H30" s="267"/>
      <c r="I30" s="268"/>
      <c r="J30" s="72">
        <f>J28/J29-1</f>
        <v>0.12330060945338728</v>
      </c>
    </row>
    <row r="35" spans="3:3" x14ac:dyDescent="0.2">
      <c r="C35" s="261">
        <v>100</v>
      </c>
    </row>
  </sheetData>
  <mergeCells count="5">
    <mergeCell ref="G30:I30"/>
    <mergeCell ref="C3:E3"/>
    <mergeCell ref="B7:E7"/>
    <mergeCell ref="G7:L7"/>
    <mergeCell ref="G26:J26"/>
  </mergeCells>
  <pageMargins left="0.511811024" right="0.511811024" top="0.78740157499999996" bottom="0.78740157499999996" header="0.31496062000000002" footer="0.31496062000000002"/>
  <pageSetup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>
    <tabColor rgb="FF00B050"/>
    <pageSetUpPr fitToPage="1"/>
  </sheetPr>
  <dimension ref="B4:R116"/>
  <sheetViews>
    <sheetView showGridLines="0" zoomScale="90" zoomScaleNormal="90" workbookViewId="0">
      <selection activeCell="B2" sqref="B2"/>
    </sheetView>
  </sheetViews>
  <sheetFormatPr defaultColWidth="8.85546875" defaultRowHeight="14.25" x14ac:dyDescent="0.2"/>
  <cols>
    <col min="1" max="1" width="3.140625" style="1" customWidth="1"/>
    <col min="2" max="2" width="19.28515625" style="1" customWidth="1"/>
    <col min="3" max="3" width="14.140625" style="1" customWidth="1"/>
    <col min="4" max="4" width="11.5703125" style="1" customWidth="1"/>
    <col min="5" max="5" width="12.5703125" style="1" customWidth="1"/>
    <col min="6" max="6" width="12" style="1" bestFit="1" customWidth="1"/>
    <col min="7" max="7" width="12.28515625" style="1" customWidth="1"/>
    <col min="8" max="8" width="13.5703125" style="1" customWidth="1"/>
    <col min="9" max="9" width="12" style="1" customWidth="1"/>
    <col min="10" max="10" width="11.5703125" style="1" customWidth="1"/>
    <col min="11" max="11" width="12" style="1" customWidth="1"/>
    <col min="12" max="12" width="11.5703125" style="1" bestFit="1" customWidth="1"/>
    <col min="13" max="13" width="11.5703125" style="1" customWidth="1"/>
    <col min="14" max="14" width="12" style="1" bestFit="1" customWidth="1"/>
    <col min="15" max="15" width="12" style="1" customWidth="1"/>
    <col min="16" max="16" width="12.7109375" style="1" customWidth="1"/>
    <col min="17" max="17" width="8.85546875" style="1"/>
    <col min="18" max="18" width="12.7109375" style="1" bestFit="1" customWidth="1"/>
    <col min="19" max="16384" width="8.85546875" style="1"/>
  </cols>
  <sheetData>
    <row r="4" spans="2:16" ht="18" x14ac:dyDescent="0.2">
      <c r="F4" s="18" t="s">
        <v>205</v>
      </c>
    </row>
    <row r="8" spans="2:16" ht="17.25" x14ac:dyDescent="0.2">
      <c r="B8" s="279" t="s">
        <v>206</v>
      </c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</row>
    <row r="9" spans="2:16" ht="15" x14ac:dyDescent="0.2">
      <c r="B9" s="280"/>
      <c r="C9" s="281"/>
      <c r="D9" s="19">
        <v>43101</v>
      </c>
      <c r="E9" s="19">
        <f>+D9+31</f>
        <v>43132</v>
      </c>
      <c r="F9" s="19">
        <f t="shared" ref="F9:O9" si="0">+E9+31</f>
        <v>43163</v>
      </c>
      <c r="G9" s="19">
        <f t="shared" si="0"/>
        <v>43194</v>
      </c>
      <c r="H9" s="19">
        <f t="shared" si="0"/>
        <v>43225</v>
      </c>
      <c r="I9" s="19">
        <f t="shared" si="0"/>
        <v>43256</v>
      </c>
      <c r="J9" s="19">
        <f t="shared" si="0"/>
        <v>43287</v>
      </c>
      <c r="K9" s="19">
        <f t="shared" si="0"/>
        <v>43318</v>
      </c>
      <c r="L9" s="19">
        <f t="shared" si="0"/>
        <v>43349</v>
      </c>
      <c r="M9" s="19">
        <f t="shared" si="0"/>
        <v>43380</v>
      </c>
      <c r="N9" s="19">
        <f t="shared" si="0"/>
        <v>43411</v>
      </c>
      <c r="O9" s="19">
        <f t="shared" si="0"/>
        <v>43442</v>
      </c>
      <c r="P9" s="9" t="s">
        <v>207</v>
      </c>
    </row>
    <row r="10" spans="2:16" x14ac:dyDescent="0.2">
      <c r="B10" s="282" t="s">
        <v>208</v>
      </c>
      <c r="C10" s="283"/>
      <c r="D10" s="138">
        <v>18029643</v>
      </c>
      <c r="E10" s="138">
        <v>16518411</v>
      </c>
      <c r="F10" s="138">
        <v>18735949</v>
      </c>
      <c r="G10" s="138">
        <v>17580126</v>
      </c>
      <c r="H10" s="138">
        <v>18623995</v>
      </c>
      <c r="I10" s="138">
        <v>18438986</v>
      </c>
      <c r="J10" s="138">
        <v>19391058</v>
      </c>
      <c r="K10" s="138">
        <v>19923237</v>
      </c>
      <c r="L10" s="138">
        <v>19885356</v>
      </c>
      <c r="M10" s="138">
        <v>20048696</v>
      </c>
      <c r="N10" s="138">
        <v>18731644</v>
      </c>
      <c r="O10" s="138">
        <v>20041505</v>
      </c>
      <c r="P10" s="20">
        <f>SUM(D10:O10)</f>
        <v>225948606</v>
      </c>
    </row>
    <row r="11" spans="2:16" x14ac:dyDescent="0.2">
      <c r="B11" s="282" t="s">
        <v>209</v>
      </c>
      <c r="C11" s="283"/>
      <c r="D11" s="138">
        <v>10629676</v>
      </c>
      <c r="E11" s="138">
        <v>9729638</v>
      </c>
      <c r="F11" s="138">
        <v>11073549</v>
      </c>
      <c r="G11" s="138">
        <v>10627415</v>
      </c>
      <c r="H11" s="138">
        <v>10268811</v>
      </c>
      <c r="I11" s="138">
        <v>9741376</v>
      </c>
      <c r="J11" s="138">
        <v>9818699</v>
      </c>
      <c r="K11" s="138">
        <v>10308812</v>
      </c>
      <c r="L11" s="138">
        <v>10001372</v>
      </c>
      <c r="M11" s="138">
        <v>10618803</v>
      </c>
      <c r="N11" s="138">
        <v>11101609</v>
      </c>
      <c r="O11" s="138">
        <v>11279622</v>
      </c>
      <c r="P11" s="20">
        <f>SUM(D11:O11)</f>
        <v>125199382</v>
      </c>
    </row>
    <row r="12" spans="2:16" ht="15" x14ac:dyDescent="0.2">
      <c r="B12" s="284" t="s">
        <v>98</v>
      </c>
      <c r="C12" s="285"/>
      <c r="D12" s="21">
        <f t="shared" ref="D12:O12" si="1">SUM(D10:D11)</f>
        <v>28659319</v>
      </c>
      <c r="E12" s="22">
        <f t="shared" si="1"/>
        <v>26248049</v>
      </c>
      <c r="F12" s="22">
        <f t="shared" si="1"/>
        <v>29809498</v>
      </c>
      <c r="G12" s="22">
        <f t="shared" si="1"/>
        <v>28207541</v>
      </c>
      <c r="H12" s="22">
        <f t="shared" si="1"/>
        <v>28892806</v>
      </c>
      <c r="I12" s="22">
        <f t="shared" si="1"/>
        <v>28180362</v>
      </c>
      <c r="J12" s="22">
        <f t="shared" si="1"/>
        <v>29209757</v>
      </c>
      <c r="K12" s="22">
        <f t="shared" si="1"/>
        <v>30232049</v>
      </c>
      <c r="L12" s="22">
        <f t="shared" si="1"/>
        <v>29886728</v>
      </c>
      <c r="M12" s="22">
        <f t="shared" si="1"/>
        <v>30667499</v>
      </c>
      <c r="N12" s="22">
        <f t="shared" si="1"/>
        <v>29833253</v>
      </c>
      <c r="O12" s="22">
        <f t="shared" si="1"/>
        <v>31321127</v>
      </c>
      <c r="P12" s="22">
        <f>SUM(P10:P11)</f>
        <v>351147988</v>
      </c>
    </row>
    <row r="13" spans="2:16" ht="15" x14ac:dyDescent="0.25">
      <c r="B13" s="203" t="s">
        <v>202</v>
      </c>
      <c r="C13" s="23"/>
      <c r="D13" s="23"/>
      <c r="F13" s="23"/>
      <c r="G13" s="23"/>
      <c r="H13" s="23"/>
      <c r="I13" s="23"/>
      <c r="J13" s="23"/>
      <c r="K13" s="24"/>
    </row>
    <row r="17" spans="2:18" ht="18" x14ac:dyDescent="0.2">
      <c r="F17" s="18" t="s">
        <v>210</v>
      </c>
    </row>
    <row r="20" spans="2:18" ht="15" x14ac:dyDescent="0.25">
      <c r="B20" s="23"/>
      <c r="C20" s="23"/>
      <c r="D20" s="23"/>
      <c r="F20" s="23"/>
      <c r="G20" s="23"/>
      <c r="H20" s="23"/>
      <c r="I20" s="23"/>
      <c r="J20" s="23"/>
      <c r="K20" s="24"/>
    </row>
    <row r="21" spans="2:18" ht="17.25" x14ac:dyDescent="0.2">
      <c r="B21" s="270" t="s">
        <v>211</v>
      </c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</row>
    <row r="22" spans="2:18" ht="15" x14ac:dyDescent="0.2">
      <c r="B22" s="8" t="s">
        <v>212</v>
      </c>
      <c r="C22" s="8" t="s">
        <v>213</v>
      </c>
      <c r="D22" s="9">
        <f>+D9</f>
        <v>43101</v>
      </c>
      <c r="E22" s="9">
        <f t="shared" ref="E22:O22" si="2">+E9</f>
        <v>43132</v>
      </c>
      <c r="F22" s="9">
        <f t="shared" si="2"/>
        <v>43163</v>
      </c>
      <c r="G22" s="9">
        <f t="shared" si="2"/>
        <v>43194</v>
      </c>
      <c r="H22" s="9">
        <f t="shared" si="2"/>
        <v>43225</v>
      </c>
      <c r="I22" s="9">
        <f t="shared" si="2"/>
        <v>43256</v>
      </c>
      <c r="J22" s="9">
        <f t="shared" si="2"/>
        <v>43287</v>
      </c>
      <c r="K22" s="9">
        <f t="shared" si="2"/>
        <v>43318</v>
      </c>
      <c r="L22" s="9">
        <f t="shared" si="2"/>
        <v>43349</v>
      </c>
      <c r="M22" s="9">
        <f t="shared" si="2"/>
        <v>43380</v>
      </c>
      <c r="N22" s="9">
        <f t="shared" si="2"/>
        <v>43411</v>
      </c>
      <c r="O22" s="9">
        <f t="shared" si="2"/>
        <v>43442</v>
      </c>
      <c r="P22" s="237" t="s">
        <v>207</v>
      </c>
    </row>
    <row r="23" spans="2:18" x14ac:dyDescent="0.2">
      <c r="B23" s="286" t="s">
        <v>188</v>
      </c>
      <c r="C23" s="10" t="s">
        <v>214</v>
      </c>
      <c r="D23" s="232">
        <v>6310655</v>
      </c>
      <c r="E23" s="232">
        <v>6186798</v>
      </c>
      <c r="F23" s="232">
        <v>6164063</v>
      </c>
      <c r="G23" s="232">
        <v>6251127</v>
      </c>
      <c r="H23" s="232">
        <v>6081630</v>
      </c>
      <c r="I23" s="232">
        <v>5993655</v>
      </c>
      <c r="J23" s="232">
        <v>5808874</v>
      </c>
      <c r="K23" s="232">
        <v>5816807</v>
      </c>
      <c r="L23" s="232">
        <v>5408371</v>
      </c>
      <c r="M23" s="232">
        <v>5398432</v>
      </c>
      <c r="N23" s="232">
        <v>5939549</v>
      </c>
      <c r="O23" s="232">
        <v>6361194</v>
      </c>
      <c r="P23" s="239">
        <f>SUM(D23:O23)</f>
        <v>71721155</v>
      </c>
      <c r="Q23" s="25"/>
    </row>
    <row r="24" spans="2:18" x14ac:dyDescent="0.2">
      <c r="B24" s="286"/>
      <c r="C24" s="10" t="s">
        <v>9</v>
      </c>
      <c r="D24" s="232">
        <v>2658978</v>
      </c>
      <c r="E24" s="232">
        <v>2783176</v>
      </c>
      <c r="F24" s="232">
        <v>2747520</v>
      </c>
      <c r="G24" s="232">
        <v>2740486</v>
      </c>
      <c r="H24" s="232">
        <v>2782875</v>
      </c>
      <c r="I24" s="232">
        <v>2802141</v>
      </c>
      <c r="J24" s="232">
        <v>2931439</v>
      </c>
      <c r="K24" s="232">
        <v>2897135</v>
      </c>
      <c r="L24" s="232">
        <v>3124446</v>
      </c>
      <c r="M24" s="232">
        <v>3167041</v>
      </c>
      <c r="N24" s="232">
        <v>2968401</v>
      </c>
      <c r="O24" s="232">
        <v>2706994</v>
      </c>
      <c r="P24" s="239">
        <f t="shared" ref="P24:P49" si="3">SUM(D24:O24)</f>
        <v>34310632</v>
      </c>
    </row>
    <row r="25" spans="2:18" x14ac:dyDescent="0.2">
      <c r="B25" s="286"/>
      <c r="C25" s="10" t="s">
        <v>10</v>
      </c>
      <c r="D25" s="232">
        <v>2082886</v>
      </c>
      <c r="E25" s="232">
        <v>2158576</v>
      </c>
      <c r="F25" s="232">
        <v>2284457</v>
      </c>
      <c r="G25" s="232">
        <v>2168148</v>
      </c>
      <c r="H25" s="232">
        <v>2343423</v>
      </c>
      <c r="I25" s="232">
        <v>2436017</v>
      </c>
      <c r="J25" s="232">
        <v>2520844</v>
      </c>
      <c r="K25" s="232">
        <v>2571053</v>
      </c>
      <c r="L25" s="232">
        <v>2943524</v>
      </c>
      <c r="M25" s="232">
        <v>2966004</v>
      </c>
      <c r="N25" s="232">
        <v>2488078</v>
      </c>
      <c r="O25" s="232">
        <v>2169699</v>
      </c>
      <c r="P25" s="239">
        <f t="shared" si="3"/>
        <v>29132709</v>
      </c>
    </row>
    <row r="26" spans="2:18" x14ac:dyDescent="0.2">
      <c r="B26" s="286"/>
      <c r="C26" s="10" t="s">
        <v>11</v>
      </c>
      <c r="D26" s="232">
        <v>474317</v>
      </c>
      <c r="E26" s="232">
        <v>490350</v>
      </c>
      <c r="F26" s="232">
        <v>506195</v>
      </c>
      <c r="G26" s="232">
        <v>471739</v>
      </c>
      <c r="H26" s="232">
        <v>556818</v>
      </c>
      <c r="I26" s="232">
        <v>624524</v>
      </c>
      <c r="J26" s="232">
        <v>663853</v>
      </c>
      <c r="K26" s="232">
        <v>690463</v>
      </c>
      <c r="L26" s="232">
        <v>803508</v>
      </c>
      <c r="M26" s="232">
        <v>784121</v>
      </c>
      <c r="N26" s="232">
        <v>569607</v>
      </c>
      <c r="O26" s="232">
        <v>506748</v>
      </c>
      <c r="P26" s="239">
        <f t="shared" si="3"/>
        <v>7142243</v>
      </c>
    </row>
    <row r="27" spans="2:18" x14ac:dyDescent="0.2">
      <c r="B27" s="286"/>
      <c r="C27" s="10" t="s">
        <v>215</v>
      </c>
      <c r="D27" s="232">
        <v>232165</v>
      </c>
      <c r="E27" s="232">
        <v>230527</v>
      </c>
      <c r="F27" s="232">
        <v>217183</v>
      </c>
      <c r="G27" s="232">
        <v>213503</v>
      </c>
      <c r="H27" s="232">
        <v>266489</v>
      </c>
      <c r="I27" s="232">
        <v>303955</v>
      </c>
      <c r="J27" s="232">
        <v>356633</v>
      </c>
      <c r="K27" s="232">
        <v>359672</v>
      </c>
      <c r="L27" s="232">
        <v>406125</v>
      </c>
      <c r="M27" s="232">
        <v>380032</v>
      </c>
      <c r="N27" s="232">
        <v>261268</v>
      </c>
      <c r="O27" s="232">
        <v>235481</v>
      </c>
      <c r="P27" s="239">
        <f t="shared" si="3"/>
        <v>3463033</v>
      </c>
    </row>
    <row r="28" spans="2:18" x14ac:dyDescent="0.2">
      <c r="B28" s="286"/>
      <c r="C28" s="10" t="s">
        <v>216</v>
      </c>
      <c r="D28" s="232">
        <v>96784</v>
      </c>
      <c r="E28" s="232">
        <v>94207</v>
      </c>
      <c r="F28" s="232">
        <v>87497</v>
      </c>
      <c r="G28" s="232">
        <v>86276</v>
      </c>
      <c r="H28" s="232">
        <v>113919</v>
      </c>
      <c r="I28" s="232">
        <v>143750</v>
      </c>
      <c r="J28" s="232">
        <v>173890</v>
      </c>
      <c r="K28" s="232">
        <v>174773</v>
      </c>
      <c r="L28" s="232">
        <v>193364</v>
      </c>
      <c r="M28" s="232">
        <v>177187</v>
      </c>
      <c r="N28" s="232">
        <v>108781</v>
      </c>
      <c r="O28" s="232">
        <v>109572</v>
      </c>
      <c r="P28" s="239">
        <f t="shared" si="3"/>
        <v>1560000</v>
      </c>
    </row>
    <row r="29" spans="2:18" x14ac:dyDescent="0.2">
      <c r="B29" s="286"/>
      <c r="C29" s="10" t="s">
        <v>217</v>
      </c>
      <c r="D29" s="232">
        <v>51827</v>
      </c>
      <c r="E29" s="232">
        <v>57221</v>
      </c>
      <c r="F29" s="232">
        <v>45979</v>
      </c>
      <c r="G29" s="232">
        <v>47833</v>
      </c>
      <c r="H29" s="232">
        <v>53315</v>
      </c>
      <c r="I29" s="232">
        <v>67276</v>
      </c>
      <c r="J29" s="232">
        <v>87442</v>
      </c>
      <c r="K29" s="232">
        <v>90341</v>
      </c>
      <c r="L29" s="232">
        <v>90700</v>
      </c>
      <c r="M29" s="232">
        <v>88823</v>
      </c>
      <c r="N29" s="232">
        <v>60609</v>
      </c>
      <c r="O29" s="232">
        <v>61625</v>
      </c>
      <c r="P29" s="239">
        <f t="shared" si="3"/>
        <v>802991</v>
      </c>
    </row>
    <row r="30" spans="2:18" x14ac:dyDescent="0.2">
      <c r="B30" s="286"/>
      <c r="C30" s="10" t="s">
        <v>218</v>
      </c>
      <c r="D30" s="232">
        <v>93617</v>
      </c>
      <c r="E30" s="232">
        <v>107195</v>
      </c>
      <c r="F30" s="232">
        <v>116888</v>
      </c>
      <c r="G30" s="232">
        <v>99117</v>
      </c>
      <c r="H30" s="232">
        <v>98257</v>
      </c>
      <c r="I30" s="232">
        <v>123638</v>
      </c>
      <c r="J30" s="232">
        <v>152105</v>
      </c>
      <c r="K30" s="232">
        <v>154161</v>
      </c>
      <c r="L30" s="232">
        <v>159480</v>
      </c>
      <c r="M30" s="231">
        <v>347597</v>
      </c>
      <c r="N30" s="231">
        <v>355658</v>
      </c>
      <c r="O30" s="231">
        <v>336585</v>
      </c>
      <c r="P30" s="239">
        <f t="shared" si="3"/>
        <v>2144298</v>
      </c>
      <c r="Q30" s="234"/>
      <c r="R30" s="235"/>
    </row>
    <row r="31" spans="2:18" ht="15" x14ac:dyDescent="0.2">
      <c r="B31" s="278" t="s">
        <v>219</v>
      </c>
      <c r="C31" s="278"/>
      <c r="D31" s="12">
        <f xml:space="preserve"> SUM(D23:D30)</f>
        <v>12001229</v>
      </c>
      <c r="E31" s="12">
        <f t="shared" ref="E31:O31" si="4" xml:space="preserve"> SUM(E23:E30)</f>
        <v>12108050</v>
      </c>
      <c r="F31" s="12">
        <f t="shared" si="4"/>
        <v>12169782</v>
      </c>
      <c r="G31" s="12">
        <f t="shared" si="4"/>
        <v>12078229</v>
      </c>
      <c r="H31" s="12">
        <f t="shared" si="4"/>
        <v>12296726</v>
      </c>
      <c r="I31" s="12">
        <f t="shared" si="4"/>
        <v>12494956</v>
      </c>
      <c r="J31" s="12">
        <f t="shared" si="4"/>
        <v>12695080</v>
      </c>
      <c r="K31" s="12">
        <f t="shared" si="4"/>
        <v>12754405</v>
      </c>
      <c r="L31" s="12">
        <f t="shared" si="4"/>
        <v>13129518</v>
      </c>
      <c r="M31" s="12">
        <f t="shared" si="4"/>
        <v>13309237</v>
      </c>
      <c r="N31" s="12">
        <f t="shared" si="4"/>
        <v>12751951</v>
      </c>
      <c r="O31" s="233">
        <f t="shared" si="4"/>
        <v>12487898</v>
      </c>
      <c r="P31" s="240">
        <f t="shared" si="3"/>
        <v>150277061</v>
      </c>
    </row>
    <row r="32" spans="2:18" x14ac:dyDescent="0.2">
      <c r="B32" s="286" t="s">
        <v>189</v>
      </c>
      <c r="C32" s="10" t="s">
        <v>220</v>
      </c>
      <c r="D32" s="232">
        <v>28220</v>
      </c>
      <c r="E32" s="232">
        <v>28040</v>
      </c>
      <c r="F32" s="232">
        <v>26460</v>
      </c>
      <c r="G32" s="232">
        <v>26250</v>
      </c>
      <c r="H32" s="232">
        <v>26360</v>
      </c>
      <c r="I32" s="232">
        <v>24600</v>
      </c>
      <c r="J32" s="232">
        <v>24320</v>
      </c>
      <c r="K32" s="232">
        <v>26000</v>
      </c>
      <c r="L32" s="232">
        <v>24140</v>
      </c>
      <c r="M32" s="232">
        <v>23989</v>
      </c>
      <c r="N32" s="232">
        <v>23816</v>
      </c>
      <c r="O32" s="232">
        <v>23760</v>
      </c>
      <c r="P32" s="241">
        <f t="shared" si="3"/>
        <v>305955</v>
      </c>
    </row>
    <row r="33" spans="2:16" x14ac:dyDescent="0.2">
      <c r="B33" s="286"/>
      <c r="C33" s="10" t="s">
        <v>221</v>
      </c>
      <c r="D33" s="232">
        <v>1078</v>
      </c>
      <c r="E33" s="232">
        <v>3827</v>
      </c>
      <c r="F33" s="232">
        <v>1175</v>
      </c>
      <c r="G33" s="232">
        <v>984</v>
      </c>
      <c r="H33" s="232">
        <v>886</v>
      </c>
      <c r="I33" s="232">
        <v>1168</v>
      </c>
      <c r="J33" s="232">
        <v>1236</v>
      </c>
      <c r="K33" s="232">
        <v>1159</v>
      </c>
      <c r="L33" s="232">
        <v>3616</v>
      </c>
      <c r="M33" s="232">
        <v>955</v>
      </c>
      <c r="N33" s="232">
        <v>745</v>
      </c>
      <c r="O33" s="232">
        <v>845</v>
      </c>
      <c r="P33" s="238">
        <f t="shared" si="3"/>
        <v>17674</v>
      </c>
    </row>
    <row r="34" spans="2:16" x14ac:dyDescent="0.2">
      <c r="B34" s="286"/>
      <c r="C34" s="10" t="s">
        <v>222</v>
      </c>
      <c r="D34" s="232">
        <v>4200</v>
      </c>
      <c r="E34" s="232">
        <v>3049</v>
      </c>
      <c r="F34" s="232">
        <v>4368</v>
      </c>
      <c r="G34" s="232">
        <v>4135</v>
      </c>
      <c r="H34" s="232">
        <v>4079</v>
      </c>
      <c r="I34" s="232">
        <v>4179</v>
      </c>
      <c r="J34" s="232">
        <v>3831</v>
      </c>
      <c r="K34" s="232">
        <v>1308</v>
      </c>
      <c r="L34" s="232">
        <v>1465</v>
      </c>
      <c r="M34" s="232">
        <v>1104</v>
      </c>
      <c r="N34" s="232">
        <v>899</v>
      </c>
      <c r="O34" s="232">
        <v>683</v>
      </c>
      <c r="P34" s="13">
        <f t="shared" si="3"/>
        <v>33300</v>
      </c>
    </row>
    <row r="35" spans="2:16" x14ac:dyDescent="0.2">
      <c r="B35" s="286"/>
      <c r="C35" s="10" t="s">
        <v>223</v>
      </c>
      <c r="D35" s="232">
        <v>239</v>
      </c>
      <c r="E35" s="232">
        <v>407</v>
      </c>
      <c r="F35" s="232">
        <v>335</v>
      </c>
      <c r="G35" s="232">
        <v>241</v>
      </c>
      <c r="H35" s="232">
        <v>206</v>
      </c>
      <c r="I35" s="232">
        <v>204</v>
      </c>
      <c r="J35" s="232">
        <v>313</v>
      </c>
      <c r="K35" s="232">
        <v>240</v>
      </c>
      <c r="L35" s="232">
        <v>283</v>
      </c>
      <c r="M35" s="232">
        <v>172</v>
      </c>
      <c r="N35" s="232">
        <v>208</v>
      </c>
      <c r="O35" s="232">
        <v>88</v>
      </c>
      <c r="P35" s="14">
        <f t="shared" si="3"/>
        <v>2936</v>
      </c>
    </row>
    <row r="36" spans="2:16" x14ac:dyDescent="0.2">
      <c r="B36" s="286"/>
      <c r="C36" s="10" t="s">
        <v>224</v>
      </c>
      <c r="D36" s="232">
        <v>123</v>
      </c>
      <c r="E36" s="232">
        <v>133</v>
      </c>
      <c r="F36" s="232">
        <v>75</v>
      </c>
      <c r="G36" s="232">
        <v>159</v>
      </c>
      <c r="H36" s="232">
        <v>114</v>
      </c>
      <c r="I36" s="232">
        <v>37</v>
      </c>
      <c r="J36" s="232">
        <v>0</v>
      </c>
      <c r="K36" s="232">
        <v>87</v>
      </c>
      <c r="L36" s="232">
        <v>72</v>
      </c>
      <c r="M36" s="232">
        <v>77</v>
      </c>
      <c r="N36" s="232">
        <v>0</v>
      </c>
      <c r="O36" s="232">
        <v>159</v>
      </c>
      <c r="P36" s="14">
        <f t="shared" si="3"/>
        <v>1036</v>
      </c>
    </row>
    <row r="37" spans="2:16" x14ac:dyDescent="0.2">
      <c r="B37" s="286"/>
      <c r="C37" s="10" t="s">
        <v>225</v>
      </c>
      <c r="D37" s="232">
        <v>56</v>
      </c>
      <c r="E37" s="232">
        <v>55</v>
      </c>
      <c r="F37" s="232">
        <v>55</v>
      </c>
      <c r="G37" s="232">
        <v>0</v>
      </c>
      <c r="H37" s="232">
        <v>0</v>
      </c>
      <c r="I37" s="232">
        <v>0</v>
      </c>
      <c r="J37" s="232">
        <v>118</v>
      </c>
      <c r="K37" s="232">
        <v>58</v>
      </c>
      <c r="L37" s="232">
        <v>120</v>
      </c>
      <c r="M37" s="232">
        <v>0</v>
      </c>
      <c r="N37" s="232">
        <v>0</v>
      </c>
      <c r="O37" s="232">
        <v>0</v>
      </c>
      <c r="P37" s="14">
        <f t="shared" si="3"/>
        <v>462</v>
      </c>
    </row>
    <row r="38" spans="2:16" x14ac:dyDescent="0.2">
      <c r="B38" s="286"/>
      <c r="C38" s="10" t="s">
        <v>226</v>
      </c>
      <c r="D38" s="232">
        <v>0</v>
      </c>
      <c r="E38" s="232">
        <v>0</v>
      </c>
      <c r="F38" s="232">
        <v>0</v>
      </c>
      <c r="G38" s="232">
        <v>0</v>
      </c>
      <c r="H38" s="232">
        <v>75</v>
      </c>
      <c r="I38" s="232">
        <v>0</v>
      </c>
      <c r="J38" s="232">
        <v>0</v>
      </c>
      <c r="K38" s="232">
        <v>0</v>
      </c>
      <c r="L38" s="232">
        <v>96</v>
      </c>
      <c r="M38" s="232">
        <v>71</v>
      </c>
      <c r="N38" s="232">
        <v>76</v>
      </c>
      <c r="O38" s="232">
        <v>0</v>
      </c>
      <c r="P38" s="14">
        <f t="shared" si="3"/>
        <v>318</v>
      </c>
    </row>
    <row r="39" spans="2:16" x14ac:dyDescent="0.2">
      <c r="B39" s="286"/>
      <c r="C39" s="10" t="s">
        <v>218</v>
      </c>
      <c r="D39" s="232">
        <v>0</v>
      </c>
      <c r="E39" s="232">
        <v>0</v>
      </c>
      <c r="F39" s="232">
        <v>0</v>
      </c>
      <c r="G39" s="232">
        <v>0</v>
      </c>
      <c r="H39" s="232">
        <v>0</v>
      </c>
      <c r="I39" s="232">
        <v>0</v>
      </c>
      <c r="J39" s="232">
        <v>0</v>
      </c>
      <c r="K39" s="232">
        <v>0</v>
      </c>
      <c r="L39" s="232">
        <v>0</v>
      </c>
      <c r="M39" s="232">
        <v>0</v>
      </c>
      <c r="N39" s="232">
        <v>0</v>
      </c>
      <c r="O39" s="232">
        <v>0</v>
      </c>
      <c r="P39" s="14">
        <f t="shared" si="3"/>
        <v>0</v>
      </c>
    </row>
    <row r="40" spans="2:16" ht="15" x14ac:dyDescent="0.2">
      <c r="B40" s="278" t="s">
        <v>219</v>
      </c>
      <c r="C40" s="278"/>
      <c r="D40" s="12">
        <f>SUM(D32:D39)</f>
        <v>33916</v>
      </c>
      <c r="E40" s="12">
        <f t="shared" ref="E40:O40" si="5">SUM(E32:E39)</f>
        <v>35511</v>
      </c>
      <c r="F40" s="12">
        <f t="shared" si="5"/>
        <v>32468</v>
      </c>
      <c r="G40" s="12">
        <f t="shared" si="5"/>
        <v>31769</v>
      </c>
      <c r="H40" s="12">
        <f t="shared" si="5"/>
        <v>31720</v>
      </c>
      <c r="I40" s="12">
        <f t="shared" si="5"/>
        <v>30188</v>
      </c>
      <c r="J40" s="12">
        <f t="shared" si="5"/>
        <v>29818</v>
      </c>
      <c r="K40" s="12">
        <f t="shared" si="5"/>
        <v>28852</v>
      </c>
      <c r="L40" s="12">
        <f t="shared" si="5"/>
        <v>29792</v>
      </c>
      <c r="M40" s="12">
        <f t="shared" si="5"/>
        <v>26368</v>
      </c>
      <c r="N40" s="12">
        <f t="shared" si="5"/>
        <v>25744</v>
      </c>
      <c r="O40" s="12">
        <f t="shared" si="5"/>
        <v>25535</v>
      </c>
      <c r="P40" s="12">
        <f t="shared" si="3"/>
        <v>361681</v>
      </c>
    </row>
    <row r="41" spans="2:16" x14ac:dyDescent="0.2">
      <c r="B41" s="287" t="s">
        <v>190</v>
      </c>
      <c r="C41" s="10" t="s">
        <v>227</v>
      </c>
      <c r="D41" s="232">
        <v>339430</v>
      </c>
      <c r="E41" s="232">
        <v>335210</v>
      </c>
      <c r="F41" s="232">
        <v>335210</v>
      </c>
      <c r="G41" s="232">
        <v>337920</v>
      </c>
      <c r="H41" s="232">
        <v>333070</v>
      </c>
      <c r="I41" s="232">
        <v>333070</v>
      </c>
      <c r="J41" s="232">
        <v>330030</v>
      </c>
      <c r="K41" s="232">
        <v>324470</v>
      </c>
      <c r="L41" s="232">
        <v>317370</v>
      </c>
      <c r="M41" s="232">
        <v>321060</v>
      </c>
      <c r="N41" s="232">
        <v>335730</v>
      </c>
      <c r="O41" s="232">
        <v>342060</v>
      </c>
      <c r="P41" s="13">
        <f t="shared" si="3"/>
        <v>3984630</v>
      </c>
    </row>
    <row r="42" spans="2:16" x14ac:dyDescent="0.2">
      <c r="B42" s="287"/>
      <c r="C42" s="10" t="s">
        <v>18</v>
      </c>
      <c r="D42" s="232">
        <v>865359</v>
      </c>
      <c r="E42" s="232">
        <v>899517</v>
      </c>
      <c r="F42" s="232">
        <v>944451</v>
      </c>
      <c r="G42" s="232">
        <v>931610</v>
      </c>
      <c r="H42" s="232">
        <v>961707</v>
      </c>
      <c r="I42" s="232">
        <v>971093</v>
      </c>
      <c r="J42" s="232">
        <v>1002042</v>
      </c>
      <c r="K42" s="232">
        <v>1046414</v>
      </c>
      <c r="L42" s="232">
        <v>1088209</v>
      </c>
      <c r="M42" s="232">
        <v>1117351</v>
      </c>
      <c r="N42" s="232">
        <v>1079074</v>
      </c>
      <c r="O42" s="232">
        <v>1019459</v>
      </c>
      <c r="P42" s="13">
        <f t="shared" si="3"/>
        <v>11926286</v>
      </c>
    </row>
    <row r="43" spans="2:16" ht="15" x14ac:dyDescent="0.2">
      <c r="B43" s="278" t="s">
        <v>219</v>
      </c>
      <c r="C43" s="278"/>
      <c r="D43" s="12">
        <f>SUM(D41:D42)</f>
        <v>1204789</v>
      </c>
      <c r="E43" s="12">
        <f t="shared" ref="E43:O43" si="6">SUM(E41:E42)</f>
        <v>1234727</v>
      </c>
      <c r="F43" s="12">
        <f t="shared" si="6"/>
        <v>1279661</v>
      </c>
      <c r="G43" s="12">
        <f t="shared" si="6"/>
        <v>1269530</v>
      </c>
      <c r="H43" s="12">
        <f t="shared" si="6"/>
        <v>1294777</v>
      </c>
      <c r="I43" s="12">
        <f t="shared" si="6"/>
        <v>1304163</v>
      </c>
      <c r="J43" s="12">
        <f t="shared" si="6"/>
        <v>1332072</v>
      </c>
      <c r="K43" s="12">
        <f t="shared" si="6"/>
        <v>1370884</v>
      </c>
      <c r="L43" s="12">
        <f t="shared" si="6"/>
        <v>1405579</v>
      </c>
      <c r="M43" s="12">
        <f t="shared" si="6"/>
        <v>1438411</v>
      </c>
      <c r="N43" s="12">
        <f t="shared" si="6"/>
        <v>1414804</v>
      </c>
      <c r="O43" s="12">
        <f t="shared" si="6"/>
        <v>1361519</v>
      </c>
      <c r="P43" s="12">
        <f t="shared" si="3"/>
        <v>15910916</v>
      </c>
    </row>
    <row r="44" spans="2:16" x14ac:dyDescent="0.2">
      <c r="B44" s="287" t="s">
        <v>191</v>
      </c>
      <c r="C44" s="10" t="s">
        <v>227</v>
      </c>
      <c r="D44" s="232">
        <v>4520</v>
      </c>
      <c r="E44" s="232">
        <v>4330</v>
      </c>
      <c r="F44" s="232">
        <v>4450</v>
      </c>
      <c r="G44" s="232">
        <v>4390</v>
      </c>
      <c r="H44" s="232">
        <v>4310</v>
      </c>
      <c r="I44" s="232">
        <v>4300</v>
      </c>
      <c r="J44" s="232">
        <v>3950</v>
      </c>
      <c r="K44" s="232">
        <v>4050</v>
      </c>
      <c r="L44" s="232">
        <v>4070</v>
      </c>
      <c r="M44" s="232">
        <v>3980</v>
      </c>
      <c r="N44" s="232">
        <v>4210</v>
      </c>
      <c r="O44" s="232">
        <v>4220</v>
      </c>
      <c r="P44" s="14">
        <f t="shared" si="3"/>
        <v>50780</v>
      </c>
    </row>
    <row r="45" spans="2:16" x14ac:dyDescent="0.2">
      <c r="B45" s="287"/>
      <c r="C45" s="10" t="s">
        <v>18</v>
      </c>
      <c r="D45" s="232">
        <v>31494</v>
      </c>
      <c r="E45" s="232">
        <v>30192</v>
      </c>
      <c r="F45" s="232">
        <v>27530</v>
      </c>
      <c r="G45" s="232">
        <v>28505</v>
      </c>
      <c r="H45" s="232">
        <v>27553</v>
      </c>
      <c r="I45" s="232">
        <v>30301</v>
      </c>
      <c r="J45" s="232">
        <v>40548</v>
      </c>
      <c r="K45" s="232">
        <v>38382</v>
      </c>
      <c r="L45" s="232">
        <v>37764</v>
      </c>
      <c r="M45" s="232">
        <v>43569</v>
      </c>
      <c r="N45" s="232">
        <v>40324</v>
      </c>
      <c r="O45" s="232">
        <v>36037</v>
      </c>
      <c r="P45" s="13">
        <f t="shared" si="3"/>
        <v>412199</v>
      </c>
    </row>
    <row r="46" spans="2:16" ht="15" x14ac:dyDescent="0.2">
      <c r="B46" s="278" t="s">
        <v>219</v>
      </c>
      <c r="C46" s="278"/>
      <c r="D46" s="12">
        <f>SUM(D44:D45)</f>
        <v>36014</v>
      </c>
      <c r="E46" s="12">
        <f t="shared" ref="E46:O46" si="7">SUM(E44:E45)</f>
        <v>34522</v>
      </c>
      <c r="F46" s="12">
        <f t="shared" si="7"/>
        <v>31980</v>
      </c>
      <c r="G46" s="12">
        <f t="shared" si="7"/>
        <v>32895</v>
      </c>
      <c r="H46" s="12">
        <f t="shared" si="7"/>
        <v>31863</v>
      </c>
      <c r="I46" s="12">
        <f t="shared" si="7"/>
        <v>34601</v>
      </c>
      <c r="J46" s="12">
        <f t="shared" si="7"/>
        <v>44498</v>
      </c>
      <c r="K46" s="12">
        <f t="shared" si="7"/>
        <v>42432</v>
      </c>
      <c r="L46" s="12">
        <f t="shared" si="7"/>
        <v>41834</v>
      </c>
      <c r="M46" s="12">
        <f t="shared" si="7"/>
        <v>47549</v>
      </c>
      <c r="N46" s="12">
        <f t="shared" si="7"/>
        <v>44534</v>
      </c>
      <c r="O46" s="12">
        <f t="shared" si="7"/>
        <v>40257</v>
      </c>
      <c r="P46" s="12">
        <f t="shared" si="3"/>
        <v>462979</v>
      </c>
    </row>
    <row r="47" spans="2:16" x14ac:dyDescent="0.2">
      <c r="B47" s="287" t="s">
        <v>228</v>
      </c>
      <c r="C47" s="10" t="s">
        <v>227</v>
      </c>
      <c r="D47" s="232">
        <v>7270</v>
      </c>
      <c r="E47" s="232">
        <v>7140</v>
      </c>
      <c r="F47" s="232">
        <v>6840</v>
      </c>
      <c r="G47" s="232">
        <v>6510</v>
      </c>
      <c r="H47" s="232">
        <v>6440</v>
      </c>
      <c r="I47" s="232">
        <v>5980</v>
      </c>
      <c r="J47" s="232">
        <v>6120</v>
      </c>
      <c r="K47" s="232">
        <v>5790</v>
      </c>
      <c r="L47" s="232">
        <v>5260</v>
      </c>
      <c r="M47" s="232">
        <v>5320</v>
      </c>
      <c r="N47" s="232">
        <v>6010</v>
      </c>
      <c r="O47" s="232">
        <v>6480</v>
      </c>
      <c r="P47" s="13">
        <f t="shared" si="3"/>
        <v>75160</v>
      </c>
    </row>
    <row r="48" spans="2:16" x14ac:dyDescent="0.2">
      <c r="B48" s="287"/>
      <c r="C48" s="10" t="s">
        <v>18</v>
      </c>
      <c r="D48" s="232">
        <v>715088</v>
      </c>
      <c r="E48" s="232">
        <v>675577</v>
      </c>
      <c r="F48" s="232">
        <v>695057</v>
      </c>
      <c r="G48" s="232">
        <v>799028</v>
      </c>
      <c r="H48" s="232">
        <v>757400</v>
      </c>
      <c r="I48" s="232">
        <v>778638</v>
      </c>
      <c r="J48" s="232">
        <v>905759</v>
      </c>
      <c r="K48" s="232">
        <v>790664</v>
      </c>
      <c r="L48" s="232">
        <v>876853</v>
      </c>
      <c r="M48" s="232">
        <v>858628</v>
      </c>
      <c r="N48" s="232">
        <v>804625</v>
      </c>
      <c r="O48" s="232">
        <v>794403</v>
      </c>
      <c r="P48" s="14">
        <f t="shared" si="3"/>
        <v>9451720</v>
      </c>
    </row>
    <row r="49" spans="2:16" ht="15" x14ac:dyDescent="0.2">
      <c r="B49" s="278" t="s">
        <v>219</v>
      </c>
      <c r="C49" s="278"/>
      <c r="D49" s="12">
        <f>SUM(D47:D48)</f>
        <v>722358</v>
      </c>
      <c r="E49" s="12">
        <f t="shared" ref="E49:O49" si="8">SUM(E47:E48)</f>
        <v>682717</v>
      </c>
      <c r="F49" s="12">
        <f t="shared" si="8"/>
        <v>701897</v>
      </c>
      <c r="G49" s="12">
        <f t="shared" si="8"/>
        <v>805538</v>
      </c>
      <c r="H49" s="12">
        <f t="shared" si="8"/>
        <v>763840</v>
      </c>
      <c r="I49" s="12">
        <f t="shared" si="8"/>
        <v>784618</v>
      </c>
      <c r="J49" s="12">
        <f t="shared" si="8"/>
        <v>911879</v>
      </c>
      <c r="K49" s="12">
        <f t="shared" si="8"/>
        <v>796454</v>
      </c>
      <c r="L49" s="12">
        <f t="shared" si="8"/>
        <v>882113</v>
      </c>
      <c r="M49" s="12">
        <f t="shared" si="8"/>
        <v>863948</v>
      </c>
      <c r="N49" s="12">
        <f t="shared" si="8"/>
        <v>810635</v>
      </c>
      <c r="O49" s="12">
        <f t="shared" si="8"/>
        <v>800883</v>
      </c>
      <c r="P49" s="12">
        <f t="shared" si="3"/>
        <v>9526880</v>
      </c>
    </row>
    <row r="50" spans="2:16" ht="15" x14ac:dyDescent="0.2">
      <c r="B50" s="288" t="s">
        <v>229</v>
      </c>
      <c r="C50" s="288"/>
      <c r="D50" s="15">
        <f>(D31+D40+D43+D46+D49)</f>
        <v>13998306</v>
      </c>
      <c r="E50" s="15">
        <f t="shared" ref="E50:O50" si="9">(E31+E40+E43+E46+E49)</f>
        <v>14095527</v>
      </c>
      <c r="F50" s="15">
        <f t="shared" si="9"/>
        <v>14215788</v>
      </c>
      <c r="G50" s="15">
        <f t="shared" si="9"/>
        <v>14217961</v>
      </c>
      <c r="H50" s="15">
        <f t="shared" si="9"/>
        <v>14418926</v>
      </c>
      <c r="I50" s="15">
        <f t="shared" si="9"/>
        <v>14648526</v>
      </c>
      <c r="J50" s="15">
        <f t="shared" si="9"/>
        <v>15013347</v>
      </c>
      <c r="K50" s="15">
        <f t="shared" si="9"/>
        <v>14993027</v>
      </c>
      <c r="L50" s="15">
        <f t="shared" si="9"/>
        <v>15488836</v>
      </c>
      <c r="M50" s="15">
        <f t="shared" si="9"/>
        <v>15685513</v>
      </c>
      <c r="N50" s="15">
        <f t="shared" si="9"/>
        <v>15047668</v>
      </c>
      <c r="O50" s="15">
        <f t="shared" si="9"/>
        <v>14716092</v>
      </c>
      <c r="P50" s="15">
        <f>SUM(D50:O50)</f>
        <v>176539517</v>
      </c>
    </row>
    <row r="52" spans="2:16" ht="17.25" x14ac:dyDescent="0.2">
      <c r="B52" s="270" t="s">
        <v>230</v>
      </c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</row>
    <row r="53" spans="2:16" ht="15" x14ac:dyDescent="0.2">
      <c r="B53" s="8" t="s">
        <v>212</v>
      </c>
      <c r="C53" s="8" t="s">
        <v>213</v>
      </c>
      <c r="D53" s="9">
        <f>+D22</f>
        <v>43101</v>
      </c>
      <c r="E53" s="9">
        <f t="shared" ref="E53:O53" si="10">+E22</f>
        <v>43132</v>
      </c>
      <c r="F53" s="9">
        <f t="shared" si="10"/>
        <v>43163</v>
      </c>
      <c r="G53" s="9">
        <f t="shared" si="10"/>
        <v>43194</v>
      </c>
      <c r="H53" s="9">
        <f t="shared" si="10"/>
        <v>43225</v>
      </c>
      <c r="I53" s="9">
        <f t="shared" si="10"/>
        <v>43256</v>
      </c>
      <c r="J53" s="9">
        <f t="shared" si="10"/>
        <v>43287</v>
      </c>
      <c r="K53" s="9">
        <f t="shared" si="10"/>
        <v>43318</v>
      </c>
      <c r="L53" s="9">
        <f t="shared" si="10"/>
        <v>43349</v>
      </c>
      <c r="M53" s="9">
        <f t="shared" si="10"/>
        <v>43380</v>
      </c>
      <c r="N53" s="9">
        <f t="shared" si="10"/>
        <v>43411</v>
      </c>
      <c r="O53" s="9">
        <f t="shared" si="10"/>
        <v>43442</v>
      </c>
      <c r="P53" s="9" t="s">
        <v>207</v>
      </c>
    </row>
    <row r="54" spans="2:16" x14ac:dyDescent="0.2">
      <c r="B54" s="286" t="s">
        <v>188</v>
      </c>
      <c r="C54" s="10" t="s">
        <v>214</v>
      </c>
      <c r="D54" s="232">
        <v>5469973.1200000001</v>
      </c>
      <c r="E54" s="232">
        <v>5356955.7699999996</v>
      </c>
      <c r="F54" s="232">
        <v>5326963.8</v>
      </c>
      <c r="G54" s="232">
        <v>5404118.1799999997</v>
      </c>
      <c r="H54" s="232">
        <v>5278871.0199999996</v>
      </c>
      <c r="I54" s="232">
        <v>5214823.24</v>
      </c>
      <c r="J54" s="232">
        <v>5063406.08</v>
      </c>
      <c r="K54" s="232">
        <v>5083226.13</v>
      </c>
      <c r="L54" s="232">
        <v>4727718.42</v>
      </c>
      <c r="M54" s="232">
        <v>4707113.49</v>
      </c>
      <c r="N54" s="232">
        <v>5166001.67</v>
      </c>
      <c r="O54" s="232">
        <v>5547592.1699999999</v>
      </c>
      <c r="P54" s="11">
        <f>SUM(D54:O54)</f>
        <v>62346763.090000011</v>
      </c>
    </row>
    <row r="55" spans="2:16" x14ac:dyDescent="0.2">
      <c r="B55" s="286"/>
      <c r="C55" s="10" t="s">
        <v>9</v>
      </c>
      <c r="D55" s="232">
        <v>2279134.4500000002</v>
      </c>
      <c r="E55" s="232">
        <v>2398884.5299999998</v>
      </c>
      <c r="F55" s="232">
        <v>2361932.36</v>
      </c>
      <c r="G55" s="232">
        <v>2360316.87</v>
      </c>
      <c r="H55" s="232">
        <v>2396279.92</v>
      </c>
      <c r="I55" s="232">
        <v>2422601.7999999998</v>
      </c>
      <c r="J55" s="232">
        <v>2552927.39</v>
      </c>
      <c r="K55" s="232">
        <v>2520485.96</v>
      </c>
      <c r="L55" s="232">
        <v>2737027.32</v>
      </c>
      <c r="M55" s="232">
        <v>2776553.58</v>
      </c>
      <c r="N55" s="232">
        <v>2592753.2000000002</v>
      </c>
      <c r="O55" s="232">
        <v>2340790.71</v>
      </c>
      <c r="P55" s="11">
        <f t="shared" ref="P55:P79" si="11">SUM(D55:O55)</f>
        <v>29739688.09</v>
      </c>
    </row>
    <row r="56" spans="2:16" x14ac:dyDescent="0.2">
      <c r="B56" s="286"/>
      <c r="C56" s="10" t="s">
        <v>10</v>
      </c>
      <c r="D56" s="232">
        <v>1623583.21</v>
      </c>
      <c r="E56" s="232">
        <v>1691116.3</v>
      </c>
      <c r="F56" s="232">
        <v>1819213.61</v>
      </c>
      <c r="G56" s="232">
        <v>1726807.42</v>
      </c>
      <c r="H56" s="232">
        <v>1857580.33</v>
      </c>
      <c r="I56" s="232">
        <v>1942619.86</v>
      </c>
      <c r="J56" s="232">
        <v>1998751.7</v>
      </c>
      <c r="K56" s="232">
        <v>2047258.08</v>
      </c>
      <c r="L56" s="232">
        <v>2383407.41</v>
      </c>
      <c r="M56" s="232">
        <v>2417105.73</v>
      </c>
      <c r="N56" s="232">
        <v>2012296.91</v>
      </c>
      <c r="O56" s="232">
        <v>1734649.14</v>
      </c>
      <c r="P56" s="11">
        <f t="shared" si="11"/>
        <v>23254389.700000003</v>
      </c>
    </row>
    <row r="57" spans="2:16" x14ac:dyDescent="0.2">
      <c r="B57" s="286"/>
      <c r="C57" s="10" t="s">
        <v>11</v>
      </c>
      <c r="D57" s="232">
        <v>281316.3</v>
      </c>
      <c r="E57" s="232">
        <v>296305.09999999998</v>
      </c>
      <c r="F57" s="232">
        <v>315136.8</v>
      </c>
      <c r="G57" s="232">
        <v>291506.25</v>
      </c>
      <c r="H57" s="232">
        <v>341539.8</v>
      </c>
      <c r="I57" s="232">
        <v>392072.1</v>
      </c>
      <c r="J57" s="232">
        <v>403860.4</v>
      </c>
      <c r="K57" s="232">
        <v>422082.8</v>
      </c>
      <c r="L57" s="232">
        <v>507024.6</v>
      </c>
      <c r="M57" s="232">
        <v>503032.8</v>
      </c>
      <c r="N57" s="232">
        <v>362811.58</v>
      </c>
      <c r="O57" s="232">
        <v>313606.2</v>
      </c>
      <c r="P57" s="11">
        <f t="shared" si="11"/>
        <v>4430294.7299999995</v>
      </c>
    </row>
    <row r="58" spans="2:16" x14ac:dyDescent="0.2">
      <c r="B58" s="286"/>
      <c r="C58" s="10" t="s">
        <v>215</v>
      </c>
      <c r="D58" s="232">
        <v>117869.4</v>
      </c>
      <c r="E58" s="232">
        <v>116553.5</v>
      </c>
      <c r="F58" s="232">
        <v>109996.8</v>
      </c>
      <c r="G58" s="232">
        <v>105974.39999999999</v>
      </c>
      <c r="H58" s="232">
        <v>133371</v>
      </c>
      <c r="I58" s="232">
        <v>145244.5</v>
      </c>
      <c r="J58" s="232">
        <v>167590.79999999999</v>
      </c>
      <c r="K58" s="232">
        <v>166780</v>
      </c>
      <c r="L58" s="232">
        <v>191921.7</v>
      </c>
      <c r="M58" s="232">
        <v>189271.39</v>
      </c>
      <c r="N58" s="232">
        <v>138099.6</v>
      </c>
      <c r="O58" s="232">
        <v>123366.8</v>
      </c>
      <c r="P58" s="11">
        <f t="shared" si="11"/>
        <v>1706039.89</v>
      </c>
    </row>
    <row r="59" spans="2:16" x14ac:dyDescent="0.2">
      <c r="B59" s="286"/>
      <c r="C59" s="10" t="s">
        <v>216</v>
      </c>
      <c r="D59" s="232">
        <v>47990.2</v>
      </c>
      <c r="E59" s="232">
        <v>45349.5</v>
      </c>
      <c r="F59" s="232">
        <v>42943.199999999997</v>
      </c>
      <c r="G59" s="232">
        <v>41451.800000000003</v>
      </c>
      <c r="H59" s="232">
        <v>55276</v>
      </c>
      <c r="I59" s="232">
        <v>63613.599999999999</v>
      </c>
      <c r="J59" s="232">
        <v>78411.399999999994</v>
      </c>
      <c r="K59" s="232">
        <v>74380.800000000003</v>
      </c>
      <c r="L59" s="232">
        <v>84152.74</v>
      </c>
      <c r="M59" s="232">
        <v>85724.800000000003</v>
      </c>
      <c r="N59" s="232">
        <v>54225.8</v>
      </c>
      <c r="O59" s="232">
        <v>55524.4</v>
      </c>
      <c r="P59" s="11">
        <f t="shared" si="11"/>
        <v>729044.24000000011</v>
      </c>
    </row>
    <row r="60" spans="2:16" x14ac:dyDescent="0.2">
      <c r="B60" s="286"/>
      <c r="C60" s="10" t="s">
        <v>217</v>
      </c>
      <c r="D60" s="232">
        <v>22190.6</v>
      </c>
      <c r="E60" s="232">
        <v>27863</v>
      </c>
      <c r="F60" s="232">
        <v>21923.599999999999</v>
      </c>
      <c r="G60" s="232">
        <v>23837.4</v>
      </c>
      <c r="H60" s="232">
        <v>26245.4</v>
      </c>
      <c r="I60" s="232">
        <v>27912.74</v>
      </c>
      <c r="J60" s="232">
        <v>38209.800000000003</v>
      </c>
      <c r="K60" s="232">
        <v>41420.400000000001</v>
      </c>
      <c r="L60" s="232">
        <v>41108.6</v>
      </c>
      <c r="M60" s="232">
        <v>45867.3</v>
      </c>
      <c r="N60" s="232">
        <v>32977.599999999999</v>
      </c>
      <c r="O60" s="232">
        <v>33242.6</v>
      </c>
      <c r="P60" s="11">
        <f t="shared" si="11"/>
        <v>382799.03999999992</v>
      </c>
    </row>
    <row r="61" spans="2:16" x14ac:dyDescent="0.2">
      <c r="B61" s="286"/>
      <c r="C61" s="10" t="s">
        <v>218</v>
      </c>
      <c r="D61" s="232">
        <v>51989.4</v>
      </c>
      <c r="E61" s="232">
        <v>53758.8</v>
      </c>
      <c r="F61" s="232">
        <v>62849.2</v>
      </c>
      <c r="G61" s="232">
        <v>58883.4</v>
      </c>
      <c r="H61" s="232">
        <v>59177</v>
      </c>
      <c r="I61" s="232">
        <v>72213</v>
      </c>
      <c r="J61" s="232">
        <v>90475</v>
      </c>
      <c r="K61" s="232">
        <v>95522.5</v>
      </c>
      <c r="L61" s="232">
        <v>87338.4</v>
      </c>
      <c r="M61" s="231">
        <v>217126.61</v>
      </c>
      <c r="N61" s="231">
        <v>250634.8</v>
      </c>
      <c r="O61" s="236">
        <v>234276.02</v>
      </c>
      <c r="P61" s="11">
        <f t="shared" si="11"/>
        <v>1334244.1300000001</v>
      </c>
    </row>
    <row r="62" spans="2:16" ht="15" x14ac:dyDescent="0.2">
      <c r="B62" s="278" t="s">
        <v>219</v>
      </c>
      <c r="C62" s="278"/>
      <c r="D62" s="12">
        <f t="shared" ref="D62:O62" si="12" xml:space="preserve"> SUM(D54:D61)</f>
        <v>9894046.6800000016</v>
      </c>
      <c r="E62" s="12">
        <f t="shared" si="12"/>
        <v>9986786.5</v>
      </c>
      <c r="F62" s="12">
        <f t="shared" si="12"/>
        <v>10060959.369999999</v>
      </c>
      <c r="G62" s="12">
        <f t="shared" si="12"/>
        <v>10012895.720000001</v>
      </c>
      <c r="H62" s="12">
        <f t="shared" si="12"/>
        <v>10148340.470000001</v>
      </c>
      <c r="I62" s="12">
        <f t="shared" si="12"/>
        <v>10281100.84</v>
      </c>
      <c r="J62" s="12">
        <f t="shared" si="12"/>
        <v>10393632.570000002</v>
      </c>
      <c r="K62" s="12">
        <f t="shared" si="12"/>
        <v>10451156.670000002</v>
      </c>
      <c r="L62" s="12">
        <f t="shared" si="12"/>
        <v>10759699.189999999</v>
      </c>
      <c r="M62" s="12">
        <f t="shared" si="12"/>
        <v>10941795.700000003</v>
      </c>
      <c r="N62" s="12">
        <f t="shared" si="12"/>
        <v>10609801.16</v>
      </c>
      <c r="O62" s="12">
        <f t="shared" si="12"/>
        <v>10383048.039999999</v>
      </c>
      <c r="P62" s="12">
        <f t="shared" si="11"/>
        <v>123923262.91</v>
      </c>
    </row>
    <row r="63" spans="2:16" x14ac:dyDescent="0.2">
      <c r="B63" s="286" t="s">
        <v>189</v>
      </c>
      <c r="C63" s="10" t="s">
        <v>220</v>
      </c>
      <c r="D63" s="232">
        <v>5192</v>
      </c>
      <c r="E63" s="232">
        <v>4884</v>
      </c>
      <c r="F63" s="232">
        <v>2556.2600000000002</v>
      </c>
      <c r="G63" s="232">
        <v>2256.1799999999998</v>
      </c>
      <c r="H63" s="232">
        <v>2276</v>
      </c>
      <c r="I63" s="232">
        <v>2284</v>
      </c>
      <c r="J63" s="232">
        <v>2224.35</v>
      </c>
      <c r="K63" s="232">
        <v>3892</v>
      </c>
      <c r="L63" s="232">
        <v>3096</v>
      </c>
      <c r="M63" s="232">
        <v>2702.96</v>
      </c>
      <c r="N63" s="232">
        <v>2735.6</v>
      </c>
      <c r="O63" s="232">
        <v>2766</v>
      </c>
      <c r="P63" s="13">
        <f t="shared" si="11"/>
        <v>36865.35</v>
      </c>
    </row>
    <row r="64" spans="2:16" x14ac:dyDescent="0.2">
      <c r="B64" s="286"/>
      <c r="C64" s="10" t="s">
        <v>221</v>
      </c>
      <c r="D64" s="232">
        <v>734.8</v>
      </c>
      <c r="E64" s="232">
        <v>3291.8</v>
      </c>
      <c r="F64" s="232">
        <v>637.6</v>
      </c>
      <c r="G64" s="232">
        <v>517.79999999999995</v>
      </c>
      <c r="H64" s="232">
        <v>464</v>
      </c>
      <c r="I64" s="232">
        <v>617.4</v>
      </c>
      <c r="J64" s="232">
        <v>633.4</v>
      </c>
      <c r="K64" s="232">
        <v>648.6</v>
      </c>
      <c r="L64" s="232">
        <v>3055.4</v>
      </c>
      <c r="M64" s="232">
        <v>478.8</v>
      </c>
      <c r="N64" s="232">
        <v>339.4</v>
      </c>
      <c r="O64" s="232">
        <v>372.2</v>
      </c>
      <c r="P64" s="14">
        <f t="shared" si="11"/>
        <v>11791.2</v>
      </c>
    </row>
    <row r="65" spans="2:16" x14ac:dyDescent="0.2">
      <c r="B65" s="286"/>
      <c r="C65" s="10" t="s">
        <v>222</v>
      </c>
      <c r="D65" s="232">
        <v>3461.8</v>
      </c>
      <c r="E65" s="232">
        <v>1061.2</v>
      </c>
      <c r="F65" s="232">
        <v>3284.8</v>
      </c>
      <c r="G65" s="232">
        <v>3179.6</v>
      </c>
      <c r="H65" s="232">
        <v>3247.4</v>
      </c>
      <c r="I65" s="232">
        <v>3304.6</v>
      </c>
      <c r="J65" s="232">
        <v>3098.8</v>
      </c>
      <c r="K65" s="232">
        <v>550</v>
      </c>
      <c r="L65" s="232">
        <v>602.6</v>
      </c>
      <c r="M65" s="232">
        <v>535.4</v>
      </c>
      <c r="N65" s="232">
        <v>356</v>
      </c>
      <c r="O65" s="232">
        <v>284.39999999999998</v>
      </c>
      <c r="P65" s="13">
        <f t="shared" si="11"/>
        <v>22966.6</v>
      </c>
    </row>
    <row r="66" spans="2:16" x14ac:dyDescent="0.2">
      <c r="B66" s="286"/>
      <c r="C66" s="10" t="s">
        <v>223</v>
      </c>
      <c r="D66" s="232">
        <v>163.4</v>
      </c>
      <c r="E66" s="232">
        <v>143.6</v>
      </c>
      <c r="F66" s="232">
        <v>205</v>
      </c>
      <c r="G66" s="232">
        <v>95</v>
      </c>
      <c r="H66" s="232">
        <v>63</v>
      </c>
      <c r="I66" s="232">
        <v>60</v>
      </c>
      <c r="J66" s="232">
        <v>77.2</v>
      </c>
      <c r="K66" s="232">
        <v>35</v>
      </c>
      <c r="L66" s="232">
        <v>46.8</v>
      </c>
      <c r="M66" s="232">
        <v>24</v>
      </c>
      <c r="N66" s="232">
        <v>48.2</v>
      </c>
      <c r="O66" s="232">
        <v>0</v>
      </c>
      <c r="P66" s="14">
        <f t="shared" si="11"/>
        <v>961.2</v>
      </c>
    </row>
    <row r="67" spans="2:16" x14ac:dyDescent="0.2">
      <c r="B67" s="286"/>
      <c r="C67" s="10" t="s">
        <v>224</v>
      </c>
      <c r="D67" s="232">
        <v>45</v>
      </c>
      <c r="E67" s="232">
        <v>133</v>
      </c>
      <c r="F67" s="232">
        <v>37</v>
      </c>
      <c r="G67" s="232">
        <v>0</v>
      </c>
      <c r="H67" s="232">
        <v>36</v>
      </c>
      <c r="I67" s="232">
        <v>0</v>
      </c>
      <c r="J67" s="232">
        <v>0</v>
      </c>
      <c r="K67" s="232">
        <v>0</v>
      </c>
      <c r="L67" s="232">
        <v>0</v>
      </c>
      <c r="M67" s="232">
        <v>0</v>
      </c>
      <c r="N67" s="232">
        <v>0</v>
      </c>
      <c r="O67" s="232">
        <v>36</v>
      </c>
      <c r="P67" s="14">
        <f t="shared" si="11"/>
        <v>287</v>
      </c>
    </row>
    <row r="68" spans="2:16" x14ac:dyDescent="0.2">
      <c r="B68" s="286"/>
      <c r="C68" s="10" t="s">
        <v>225</v>
      </c>
      <c r="D68" s="232">
        <v>109</v>
      </c>
      <c r="E68" s="232">
        <v>53</v>
      </c>
      <c r="F68" s="232">
        <v>0</v>
      </c>
      <c r="G68" s="232">
        <v>53</v>
      </c>
      <c r="H68" s="232">
        <v>0</v>
      </c>
      <c r="I68" s="232">
        <v>0</v>
      </c>
      <c r="J68" s="232">
        <v>51</v>
      </c>
      <c r="K68" s="232">
        <v>58</v>
      </c>
      <c r="L68" s="232">
        <v>0</v>
      </c>
      <c r="M68" s="232">
        <v>0</v>
      </c>
      <c r="N68" s="232">
        <v>0</v>
      </c>
      <c r="O68" s="232">
        <v>0</v>
      </c>
      <c r="P68" s="14">
        <f t="shared" si="11"/>
        <v>324</v>
      </c>
    </row>
    <row r="69" spans="2:16" x14ac:dyDescent="0.2">
      <c r="B69" s="286"/>
      <c r="C69" s="10" t="s">
        <v>226</v>
      </c>
      <c r="D69" s="232">
        <v>0</v>
      </c>
      <c r="E69" s="232">
        <v>0</v>
      </c>
      <c r="F69" s="232">
        <v>0</v>
      </c>
      <c r="G69" s="232">
        <v>0</v>
      </c>
      <c r="H69" s="232">
        <v>0</v>
      </c>
      <c r="I69" s="232">
        <v>0</v>
      </c>
      <c r="J69" s="232">
        <v>0</v>
      </c>
      <c r="K69" s="232">
        <v>0</v>
      </c>
      <c r="L69" s="232">
        <v>0</v>
      </c>
      <c r="M69" s="232">
        <v>0</v>
      </c>
      <c r="N69" s="232">
        <v>76</v>
      </c>
      <c r="O69" s="232">
        <v>0</v>
      </c>
      <c r="P69" s="14">
        <f t="shared" si="11"/>
        <v>76</v>
      </c>
    </row>
    <row r="70" spans="2:16" x14ac:dyDescent="0.2">
      <c r="B70" s="286"/>
      <c r="C70" s="10" t="s">
        <v>218</v>
      </c>
      <c r="D70" s="232">
        <v>0</v>
      </c>
      <c r="E70" s="232">
        <v>0</v>
      </c>
      <c r="F70" s="232">
        <v>0</v>
      </c>
      <c r="G70" s="232">
        <v>0</v>
      </c>
      <c r="H70" s="232">
        <v>0</v>
      </c>
      <c r="I70" s="232">
        <v>0</v>
      </c>
      <c r="J70" s="232">
        <v>0</v>
      </c>
      <c r="K70" s="232">
        <v>0</v>
      </c>
      <c r="L70" s="232">
        <v>0</v>
      </c>
      <c r="M70" s="232">
        <v>0</v>
      </c>
      <c r="N70" s="232">
        <v>0</v>
      </c>
      <c r="O70" s="232">
        <v>0</v>
      </c>
      <c r="P70" s="14">
        <f t="shared" si="11"/>
        <v>0</v>
      </c>
    </row>
    <row r="71" spans="2:16" ht="15" x14ac:dyDescent="0.2">
      <c r="B71" s="278" t="s">
        <v>219</v>
      </c>
      <c r="C71" s="278"/>
      <c r="D71" s="12">
        <f t="shared" ref="D71:O71" si="13">SUM(D63:D70)</f>
        <v>9706</v>
      </c>
      <c r="E71" s="12">
        <f t="shared" si="13"/>
        <v>9566.6</v>
      </c>
      <c r="F71" s="12">
        <f t="shared" si="13"/>
        <v>6720.66</v>
      </c>
      <c r="G71" s="12">
        <f t="shared" si="13"/>
        <v>6101.58</v>
      </c>
      <c r="H71" s="12">
        <f t="shared" si="13"/>
        <v>6086.4</v>
      </c>
      <c r="I71" s="12">
        <f t="shared" si="13"/>
        <v>6266</v>
      </c>
      <c r="J71" s="12">
        <f t="shared" si="13"/>
        <v>6084.75</v>
      </c>
      <c r="K71" s="12">
        <f t="shared" si="13"/>
        <v>5183.6000000000004</v>
      </c>
      <c r="L71" s="12">
        <f t="shared" si="13"/>
        <v>6800.8</v>
      </c>
      <c r="M71" s="12">
        <f t="shared" si="13"/>
        <v>3741.1600000000003</v>
      </c>
      <c r="N71" s="12">
        <f t="shared" si="13"/>
        <v>3555.2</v>
      </c>
      <c r="O71" s="12">
        <f t="shared" si="13"/>
        <v>3458.6</v>
      </c>
      <c r="P71" s="12">
        <f>SUM(P63:P70)</f>
        <v>73271.349999999991</v>
      </c>
    </row>
    <row r="72" spans="2:16" x14ac:dyDescent="0.2">
      <c r="B72" s="287" t="s">
        <v>190</v>
      </c>
      <c r="C72" s="10" t="s">
        <v>227</v>
      </c>
      <c r="D72" s="232">
        <v>306165.93</v>
      </c>
      <c r="E72" s="232">
        <v>302124.46000000002</v>
      </c>
      <c r="F72" s="232">
        <v>304470.95</v>
      </c>
      <c r="G72" s="232">
        <v>306223.13</v>
      </c>
      <c r="H72" s="232">
        <v>303362.15999999997</v>
      </c>
      <c r="I72" s="232">
        <v>303161.56</v>
      </c>
      <c r="J72" s="232">
        <v>299128.28000000003</v>
      </c>
      <c r="K72" s="232">
        <v>293522.17</v>
      </c>
      <c r="L72" s="232">
        <v>287915.69</v>
      </c>
      <c r="M72" s="232">
        <v>291362.53999999998</v>
      </c>
      <c r="N72" s="232">
        <v>306543.07</v>
      </c>
      <c r="O72" s="232">
        <v>312202.32</v>
      </c>
      <c r="P72" s="13">
        <f t="shared" si="11"/>
        <v>3616182.26</v>
      </c>
    </row>
    <row r="73" spans="2:16" x14ac:dyDescent="0.2">
      <c r="B73" s="287"/>
      <c r="C73" s="10" t="s">
        <v>18</v>
      </c>
      <c r="D73" s="232">
        <v>824725.05999999994</v>
      </c>
      <c r="E73" s="232">
        <v>860769.38000000012</v>
      </c>
      <c r="F73" s="232">
        <v>899364.76</v>
      </c>
      <c r="G73" s="232">
        <v>888565.99</v>
      </c>
      <c r="H73" s="232">
        <v>908920.77</v>
      </c>
      <c r="I73" s="232">
        <v>920646.59000000008</v>
      </c>
      <c r="J73" s="232">
        <v>950540.9</v>
      </c>
      <c r="K73" s="232">
        <v>984259.15999999992</v>
      </c>
      <c r="L73" s="232">
        <v>1035069.8700000001</v>
      </c>
      <c r="M73" s="232">
        <v>1058290.4099999999</v>
      </c>
      <c r="N73" s="232">
        <v>1020368.06</v>
      </c>
      <c r="O73" s="232">
        <v>967208.84000000008</v>
      </c>
      <c r="P73" s="13">
        <f t="shared" si="11"/>
        <v>11318729.790000001</v>
      </c>
    </row>
    <row r="74" spans="2:16" ht="15" x14ac:dyDescent="0.2">
      <c r="B74" s="278" t="s">
        <v>219</v>
      </c>
      <c r="C74" s="278"/>
      <c r="D74" s="12">
        <f t="shared" ref="D74:O74" si="14">SUM(D72:D73)</f>
        <v>1130890.99</v>
      </c>
      <c r="E74" s="12">
        <f t="shared" si="14"/>
        <v>1162893.8400000001</v>
      </c>
      <c r="F74" s="12">
        <f t="shared" si="14"/>
        <v>1203835.71</v>
      </c>
      <c r="G74" s="12">
        <f t="shared" si="14"/>
        <v>1194789.1200000001</v>
      </c>
      <c r="H74" s="12">
        <f t="shared" si="14"/>
        <v>1212282.93</v>
      </c>
      <c r="I74" s="12">
        <f t="shared" si="14"/>
        <v>1223808.1500000001</v>
      </c>
      <c r="J74" s="12">
        <f t="shared" si="14"/>
        <v>1249669.1800000002</v>
      </c>
      <c r="K74" s="12">
        <f t="shared" si="14"/>
        <v>1277781.3299999998</v>
      </c>
      <c r="L74" s="12">
        <f t="shared" si="14"/>
        <v>1322985.56</v>
      </c>
      <c r="M74" s="12">
        <f t="shared" si="14"/>
        <v>1349652.95</v>
      </c>
      <c r="N74" s="12">
        <f t="shared" si="14"/>
        <v>1326911.1300000001</v>
      </c>
      <c r="O74" s="12">
        <f t="shared" si="14"/>
        <v>1279411.1600000001</v>
      </c>
      <c r="P74" s="12">
        <f>SUM(P72:P73)</f>
        <v>14934912.050000001</v>
      </c>
    </row>
    <row r="75" spans="2:16" x14ac:dyDescent="0.2">
      <c r="B75" s="287" t="s">
        <v>191</v>
      </c>
      <c r="C75" s="10" t="s">
        <v>227</v>
      </c>
      <c r="D75" s="232">
        <v>3343</v>
      </c>
      <c r="E75" s="232">
        <v>4987.92</v>
      </c>
      <c r="F75" s="232">
        <v>5371.52</v>
      </c>
      <c r="G75" s="232">
        <v>5764.74</v>
      </c>
      <c r="H75" s="232">
        <v>5345.84</v>
      </c>
      <c r="I75" s="232">
        <v>3335</v>
      </c>
      <c r="J75" s="232">
        <v>3058</v>
      </c>
      <c r="K75" s="232">
        <v>3146</v>
      </c>
      <c r="L75" s="232">
        <v>3092</v>
      </c>
      <c r="M75" s="232">
        <v>4588.07</v>
      </c>
      <c r="N75" s="232">
        <v>4978.32</v>
      </c>
      <c r="O75" s="232">
        <v>4808.2299999999996</v>
      </c>
      <c r="P75" s="14">
        <f t="shared" si="11"/>
        <v>51818.64</v>
      </c>
    </row>
    <row r="76" spans="2:16" x14ac:dyDescent="0.2">
      <c r="B76" s="287"/>
      <c r="C76" s="10" t="s">
        <v>18</v>
      </c>
      <c r="D76" s="232">
        <v>24420.89</v>
      </c>
      <c r="E76" s="232">
        <v>23839</v>
      </c>
      <c r="F76" s="232">
        <v>22948.799999999999</v>
      </c>
      <c r="G76" s="232">
        <v>23570</v>
      </c>
      <c r="H76" s="232">
        <v>22458.800000000003</v>
      </c>
      <c r="I76" s="232">
        <v>25771.01</v>
      </c>
      <c r="J76" s="232">
        <v>33825.870000000003</v>
      </c>
      <c r="K76" s="232">
        <v>30749.559999999998</v>
      </c>
      <c r="L76" s="232">
        <v>31636.55</v>
      </c>
      <c r="M76" s="231">
        <v>78202.259999999995</v>
      </c>
      <c r="N76" s="232">
        <v>34019.199999999997</v>
      </c>
      <c r="O76" s="232">
        <v>29615.4</v>
      </c>
      <c r="P76" s="13">
        <f t="shared" si="11"/>
        <v>381057.34</v>
      </c>
    </row>
    <row r="77" spans="2:16" ht="15" x14ac:dyDescent="0.2">
      <c r="B77" s="278" t="s">
        <v>219</v>
      </c>
      <c r="C77" s="278"/>
      <c r="D77" s="12">
        <f t="shared" ref="D77:O77" si="15">SUM(D75:D76)</f>
        <v>27763.89</v>
      </c>
      <c r="E77" s="12">
        <f t="shared" si="15"/>
        <v>28826.92</v>
      </c>
      <c r="F77" s="12">
        <f t="shared" si="15"/>
        <v>28320.32</v>
      </c>
      <c r="G77" s="12">
        <f t="shared" si="15"/>
        <v>29334.739999999998</v>
      </c>
      <c r="H77" s="12">
        <f t="shared" si="15"/>
        <v>27804.640000000003</v>
      </c>
      <c r="I77" s="12">
        <f t="shared" si="15"/>
        <v>29106.01</v>
      </c>
      <c r="J77" s="12">
        <f t="shared" si="15"/>
        <v>36883.870000000003</v>
      </c>
      <c r="K77" s="12">
        <f t="shared" si="15"/>
        <v>33895.56</v>
      </c>
      <c r="L77" s="12">
        <f t="shared" si="15"/>
        <v>34728.550000000003</v>
      </c>
      <c r="M77" s="12">
        <f t="shared" si="15"/>
        <v>82790.329999999987</v>
      </c>
      <c r="N77" s="12">
        <f t="shared" si="15"/>
        <v>38997.519999999997</v>
      </c>
      <c r="O77" s="12">
        <f t="shared" si="15"/>
        <v>34423.630000000005</v>
      </c>
      <c r="P77" s="12">
        <f>SUM(P75:P76)</f>
        <v>432875.98000000004</v>
      </c>
    </row>
    <row r="78" spans="2:16" x14ac:dyDescent="0.2">
      <c r="B78" s="287" t="s">
        <v>228</v>
      </c>
      <c r="C78" s="10" t="s">
        <v>227</v>
      </c>
      <c r="D78" s="232">
        <v>8782.44</v>
      </c>
      <c r="E78" s="232">
        <v>8809.57</v>
      </c>
      <c r="F78" s="232">
        <v>8550.57</v>
      </c>
      <c r="G78" s="232">
        <v>8324.57</v>
      </c>
      <c r="H78" s="232">
        <v>8260.57</v>
      </c>
      <c r="I78" s="232">
        <v>7794.57</v>
      </c>
      <c r="J78" s="232">
        <v>7998.57</v>
      </c>
      <c r="K78" s="232">
        <v>8443.44</v>
      </c>
      <c r="L78" s="231">
        <v>15017</v>
      </c>
      <c r="M78" s="231">
        <v>4886.13</v>
      </c>
      <c r="N78" s="232">
        <v>5370.17</v>
      </c>
      <c r="O78" s="232">
        <v>8539.57</v>
      </c>
      <c r="P78" s="13">
        <f t="shared" si="11"/>
        <v>100777.17000000001</v>
      </c>
    </row>
    <row r="79" spans="2:16" x14ac:dyDescent="0.2">
      <c r="B79" s="287"/>
      <c r="C79" s="10" t="s">
        <v>18</v>
      </c>
      <c r="D79" s="232">
        <v>686586.01</v>
      </c>
      <c r="E79" s="232">
        <v>645097.66</v>
      </c>
      <c r="F79" s="232">
        <v>659181</v>
      </c>
      <c r="G79" s="232">
        <v>760326.78</v>
      </c>
      <c r="H79" s="232">
        <v>723030.20000000007</v>
      </c>
      <c r="I79" s="232">
        <v>742253.72</v>
      </c>
      <c r="J79" s="232">
        <v>857292.85</v>
      </c>
      <c r="K79" s="232">
        <v>754624.03</v>
      </c>
      <c r="L79" s="232">
        <v>834956.06</v>
      </c>
      <c r="M79" s="232">
        <v>803936.24</v>
      </c>
      <c r="N79" s="232">
        <v>769097.5</v>
      </c>
      <c r="O79" s="232">
        <v>757042.93</v>
      </c>
      <c r="P79" s="14">
        <f t="shared" si="11"/>
        <v>8993424.9800000004</v>
      </c>
    </row>
    <row r="80" spans="2:16" ht="15" x14ac:dyDescent="0.2">
      <c r="B80" s="278" t="s">
        <v>219</v>
      </c>
      <c r="C80" s="278"/>
      <c r="D80" s="12">
        <f t="shared" ref="D80:O80" si="16">SUM(D78:D79)</f>
        <v>695368.45</v>
      </c>
      <c r="E80" s="12">
        <f t="shared" si="16"/>
        <v>653907.23</v>
      </c>
      <c r="F80" s="12">
        <f t="shared" si="16"/>
        <v>667731.56999999995</v>
      </c>
      <c r="G80" s="12">
        <f t="shared" si="16"/>
        <v>768651.35</v>
      </c>
      <c r="H80" s="12">
        <f t="shared" si="16"/>
        <v>731290.77</v>
      </c>
      <c r="I80" s="12">
        <f t="shared" si="16"/>
        <v>750048.28999999992</v>
      </c>
      <c r="J80" s="12">
        <f t="shared" si="16"/>
        <v>865291.41999999993</v>
      </c>
      <c r="K80" s="12">
        <f t="shared" si="16"/>
        <v>763067.47</v>
      </c>
      <c r="L80" s="12">
        <f t="shared" si="16"/>
        <v>849973.06</v>
      </c>
      <c r="M80" s="12">
        <f t="shared" si="16"/>
        <v>808822.37</v>
      </c>
      <c r="N80" s="12">
        <f t="shared" si="16"/>
        <v>774467.67</v>
      </c>
      <c r="O80" s="12">
        <f t="shared" si="16"/>
        <v>765582.5</v>
      </c>
      <c r="P80" s="12">
        <f>SUM(P78:P79)</f>
        <v>9094202.1500000004</v>
      </c>
    </row>
    <row r="81" spans="2:17" ht="15" x14ac:dyDescent="0.2">
      <c r="B81" s="288" t="s">
        <v>229</v>
      </c>
      <c r="C81" s="288"/>
      <c r="D81" s="136">
        <f t="shared" ref="D81:O81" si="17">(D62+D71+D74+D77+D80)</f>
        <v>11757776.010000002</v>
      </c>
      <c r="E81" s="136">
        <f t="shared" si="17"/>
        <v>11841981.09</v>
      </c>
      <c r="F81" s="136">
        <f t="shared" si="17"/>
        <v>11967567.629999999</v>
      </c>
      <c r="G81" s="136">
        <f t="shared" si="17"/>
        <v>12011772.510000002</v>
      </c>
      <c r="H81" s="136">
        <f t="shared" si="17"/>
        <v>12125805.210000001</v>
      </c>
      <c r="I81" s="136">
        <f t="shared" si="17"/>
        <v>12290329.289999999</v>
      </c>
      <c r="J81" s="136">
        <f t="shared" si="17"/>
        <v>12551561.790000001</v>
      </c>
      <c r="K81" s="136">
        <f t="shared" si="17"/>
        <v>12531084.630000003</v>
      </c>
      <c r="L81" s="136">
        <f t="shared" si="17"/>
        <v>12974187.160000002</v>
      </c>
      <c r="M81" s="136">
        <f t="shared" si="17"/>
        <v>13186802.510000002</v>
      </c>
      <c r="N81" s="136">
        <f t="shared" si="17"/>
        <v>12753732.68</v>
      </c>
      <c r="O81" s="15">
        <f t="shared" si="17"/>
        <v>12465923.93</v>
      </c>
      <c r="P81" s="15">
        <f>(P62+P71+P74+P77+P80)</f>
        <v>148458524.44</v>
      </c>
      <c r="Q81" s="16"/>
    </row>
    <row r="83" spans="2:17" customFormat="1" ht="15" x14ac:dyDescent="0.25">
      <c r="B83" s="279" t="s">
        <v>231</v>
      </c>
      <c r="C83" s="279"/>
      <c r="D83" s="279"/>
      <c r="E83" s="279"/>
      <c r="F83" s="279"/>
      <c r="G83" s="279"/>
      <c r="H83" s="279"/>
      <c r="I83" s="279"/>
      <c r="J83" s="279"/>
      <c r="K83" s="279"/>
      <c r="L83" s="279"/>
      <c r="M83" s="279"/>
      <c r="N83" s="279"/>
      <c r="O83" s="279"/>
      <c r="P83" s="289"/>
    </row>
    <row r="84" spans="2:17" customFormat="1" ht="15" x14ac:dyDescent="0.25">
      <c r="B84" s="8" t="s">
        <v>212</v>
      </c>
      <c r="C84" s="8" t="s">
        <v>213</v>
      </c>
      <c r="D84" s="9">
        <f>+D53</f>
        <v>43101</v>
      </c>
      <c r="E84" s="9">
        <f t="shared" ref="E84:O84" si="18">+E53</f>
        <v>43132</v>
      </c>
      <c r="F84" s="9">
        <f t="shared" si="18"/>
        <v>43163</v>
      </c>
      <c r="G84" s="9">
        <f t="shared" si="18"/>
        <v>43194</v>
      </c>
      <c r="H84" s="9">
        <f t="shared" si="18"/>
        <v>43225</v>
      </c>
      <c r="I84" s="9">
        <f t="shared" si="18"/>
        <v>43256</v>
      </c>
      <c r="J84" s="9">
        <f t="shared" si="18"/>
        <v>43287</v>
      </c>
      <c r="K84" s="9">
        <f t="shared" si="18"/>
        <v>43318</v>
      </c>
      <c r="L84" s="9">
        <f t="shared" si="18"/>
        <v>43349</v>
      </c>
      <c r="M84" s="9">
        <f t="shared" si="18"/>
        <v>43380</v>
      </c>
      <c r="N84" s="9">
        <f t="shared" si="18"/>
        <v>43411</v>
      </c>
      <c r="O84" s="9">
        <f t="shared" si="18"/>
        <v>43442</v>
      </c>
      <c r="P84" s="9" t="s">
        <v>98</v>
      </c>
    </row>
    <row r="85" spans="2:17" customFormat="1" ht="15" x14ac:dyDescent="0.25">
      <c r="B85" s="286" t="s">
        <v>188</v>
      </c>
      <c r="C85" s="10" t="s">
        <v>214</v>
      </c>
      <c r="D85" s="137">
        <f>+D54+D23</f>
        <v>11780628.120000001</v>
      </c>
      <c r="E85" s="137">
        <f t="shared" ref="E85:O85" si="19">+E54+E23</f>
        <v>11543753.77</v>
      </c>
      <c r="F85" s="137">
        <f t="shared" si="19"/>
        <v>11491026.800000001</v>
      </c>
      <c r="G85" s="137">
        <f t="shared" si="19"/>
        <v>11655245.18</v>
      </c>
      <c r="H85" s="137">
        <f t="shared" si="19"/>
        <v>11360501.02</v>
      </c>
      <c r="I85" s="137">
        <f t="shared" si="19"/>
        <v>11208478.24</v>
      </c>
      <c r="J85" s="137">
        <f t="shared" si="19"/>
        <v>10872280.08</v>
      </c>
      <c r="K85" s="137">
        <f t="shared" si="19"/>
        <v>10900033.129999999</v>
      </c>
      <c r="L85" s="137">
        <f t="shared" si="19"/>
        <v>10136089.42</v>
      </c>
      <c r="M85" s="137">
        <f t="shared" si="19"/>
        <v>10105545.49</v>
      </c>
      <c r="N85" s="137">
        <f t="shared" si="19"/>
        <v>11105550.67</v>
      </c>
      <c r="O85" s="137">
        <f t="shared" si="19"/>
        <v>11908786.17</v>
      </c>
      <c r="P85" s="11">
        <f>SUM(D85:O85)</f>
        <v>134067918.08999999</v>
      </c>
    </row>
    <row r="86" spans="2:17" customFormat="1" ht="15" x14ac:dyDescent="0.25">
      <c r="B86" s="286"/>
      <c r="C86" s="10" t="s">
        <v>9</v>
      </c>
      <c r="D86" s="137">
        <f t="shared" ref="D86:O92" si="20">+D55+D24</f>
        <v>4938112.45</v>
      </c>
      <c r="E86" s="137">
        <f t="shared" si="20"/>
        <v>5182060.5299999993</v>
      </c>
      <c r="F86" s="137">
        <f t="shared" si="20"/>
        <v>5109452.3599999994</v>
      </c>
      <c r="G86" s="137">
        <f t="shared" si="20"/>
        <v>5100802.87</v>
      </c>
      <c r="H86" s="137">
        <f t="shared" si="20"/>
        <v>5179154.92</v>
      </c>
      <c r="I86" s="137">
        <f t="shared" si="20"/>
        <v>5224742.8</v>
      </c>
      <c r="J86" s="137">
        <f t="shared" si="20"/>
        <v>5484366.3900000006</v>
      </c>
      <c r="K86" s="137">
        <f t="shared" si="20"/>
        <v>5417620.96</v>
      </c>
      <c r="L86" s="137">
        <f t="shared" si="20"/>
        <v>5861473.3200000003</v>
      </c>
      <c r="M86" s="137">
        <f t="shared" si="20"/>
        <v>5943594.5800000001</v>
      </c>
      <c r="N86" s="137">
        <f t="shared" si="20"/>
        <v>5561154.2000000002</v>
      </c>
      <c r="O86" s="137">
        <f t="shared" si="20"/>
        <v>5047784.71</v>
      </c>
      <c r="P86" s="11">
        <f t="shared" ref="P86:P92" si="21">SUM(D86:O86)</f>
        <v>64050320.090000011</v>
      </c>
    </row>
    <row r="87" spans="2:17" customFormat="1" ht="15" x14ac:dyDescent="0.25">
      <c r="B87" s="286"/>
      <c r="C87" s="10" t="s">
        <v>10</v>
      </c>
      <c r="D87" s="137">
        <f t="shared" si="20"/>
        <v>3706469.21</v>
      </c>
      <c r="E87" s="137">
        <f t="shared" si="20"/>
        <v>3849692.3</v>
      </c>
      <c r="F87" s="137">
        <f t="shared" si="20"/>
        <v>4103670.6100000003</v>
      </c>
      <c r="G87" s="137">
        <f t="shared" si="20"/>
        <v>3894955.42</v>
      </c>
      <c r="H87" s="137">
        <f t="shared" si="20"/>
        <v>4201003.33</v>
      </c>
      <c r="I87" s="137">
        <f t="shared" si="20"/>
        <v>4378636.8600000003</v>
      </c>
      <c r="J87" s="137">
        <f t="shared" si="20"/>
        <v>4519595.7</v>
      </c>
      <c r="K87" s="137">
        <f t="shared" si="20"/>
        <v>4618311.08</v>
      </c>
      <c r="L87" s="137">
        <f t="shared" si="20"/>
        <v>5326931.41</v>
      </c>
      <c r="M87" s="137">
        <f t="shared" si="20"/>
        <v>5383109.7300000004</v>
      </c>
      <c r="N87" s="137">
        <f t="shared" si="20"/>
        <v>4500374.91</v>
      </c>
      <c r="O87" s="137">
        <f t="shared" si="20"/>
        <v>3904348.1399999997</v>
      </c>
      <c r="P87" s="11">
        <f t="shared" si="21"/>
        <v>52387098.700000003</v>
      </c>
    </row>
    <row r="88" spans="2:17" customFormat="1" ht="15" x14ac:dyDescent="0.25">
      <c r="B88" s="286"/>
      <c r="C88" s="10" t="s">
        <v>11</v>
      </c>
      <c r="D88" s="137">
        <f t="shared" si="20"/>
        <v>755633.3</v>
      </c>
      <c r="E88" s="137">
        <f t="shared" si="20"/>
        <v>786655.1</v>
      </c>
      <c r="F88" s="137">
        <f t="shared" si="20"/>
        <v>821331.8</v>
      </c>
      <c r="G88" s="137">
        <f t="shared" si="20"/>
        <v>763245.25</v>
      </c>
      <c r="H88" s="137">
        <f t="shared" si="20"/>
        <v>898357.8</v>
      </c>
      <c r="I88" s="137">
        <f t="shared" si="20"/>
        <v>1016596.1</v>
      </c>
      <c r="J88" s="137">
        <f t="shared" si="20"/>
        <v>1067713.3999999999</v>
      </c>
      <c r="K88" s="137">
        <f t="shared" si="20"/>
        <v>1112545.8</v>
      </c>
      <c r="L88" s="137">
        <f t="shared" si="20"/>
        <v>1310532.6000000001</v>
      </c>
      <c r="M88" s="137">
        <f t="shared" si="20"/>
        <v>1287153.8</v>
      </c>
      <c r="N88" s="137">
        <f t="shared" si="20"/>
        <v>932418.58000000007</v>
      </c>
      <c r="O88" s="137">
        <f t="shared" si="20"/>
        <v>820354.2</v>
      </c>
      <c r="P88" s="11">
        <f t="shared" si="21"/>
        <v>11572537.73</v>
      </c>
    </row>
    <row r="89" spans="2:17" customFormat="1" ht="15" x14ac:dyDescent="0.25">
      <c r="B89" s="286"/>
      <c r="C89" s="10" t="s">
        <v>215</v>
      </c>
      <c r="D89" s="137">
        <f t="shared" si="20"/>
        <v>350034.4</v>
      </c>
      <c r="E89" s="137">
        <f t="shared" si="20"/>
        <v>347080.5</v>
      </c>
      <c r="F89" s="137">
        <f t="shared" si="20"/>
        <v>327179.8</v>
      </c>
      <c r="G89" s="137">
        <f t="shared" si="20"/>
        <v>319477.40000000002</v>
      </c>
      <c r="H89" s="137">
        <f t="shared" si="20"/>
        <v>399860</v>
      </c>
      <c r="I89" s="137">
        <f t="shared" si="20"/>
        <v>449199.5</v>
      </c>
      <c r="J89" s="137">
        <f t="shared" si="20"/>
        <v>524223.8</v>
      </c>
      <c r="K89" s="137">
        <f t="shared" si="20"/>
        <v>526452</v>
      </c>
      <c r="L89" s="137">
        <f t="shared" si="20"/>
        <v>598046.69999999995</v>
      </c>
      <c r="M89" s="137">
        <f t="shared" si="20"/>
        <v>569303.39</v>
      </c>
      <c r="N89" s="137">
        <f t="shared" si="20"/>
        <v>399367.6</v>
      </c>
      <c r="O89" s="137">
        <f t="shared" si="20"/>
        <v>358847.8</v>
      </c>
      <c r="P89" s="11">
        <f t="shared" si="21"/>
        <v>5169072.8899999987</v>
      </c>
    </row>
    <row r="90" spans="2:17" customFormat="1" ht="15" x14ac:dyDescent="0.25">
      <c r="B90" s="286"/>
      <c r="C90" s="10" t="s">
        <v>216</v>
      </c>
      <c r="D90" s="137">
        <f t="shared" si="20"/>
        <v>144774.20000000001</v>
      </c>
      <c r="E90" s="137">
        <f t="shared" si="20"/>
        <v>139556.5</v>
      </c>
      <c r="F90" s="137">
        <f t="shared" si="20"/>
        <v>130440.2</v>
      </c>
      <c r="G90" s="137">
        <f t="shared" si="20"/>
        <v>127727.8</v>
      </c>
      <c r="H90" s="137">
        <f t="shared" si="20"/>
        <v>169195</v>
      </c>
      <c r="I90" s="137">
        <f t="shared" si="20"/>
        <v>207363.6</v>
      </c>
      <c r="J90" s="137">
        <f t="shared" si="20"/>
        <v>252301.4</v>
      </c>
      <c r="K90" s="137">
        <f t="shared" si="20"/>
        <v>249153.8</v>
      </c>
      <c r="L90" s="137">
        <f t="shared" si="20"/>
        <v>277516.74</v>
      </c>
      <c r="M90" s="137">
        <f t="shared" si="20"/>
        <v>262911.8</v>
      </c>
      <c r="N90" s="137">
        <f t="shared" si="20"/>
        <v>163006.79999999999</v>
      </c>
      <c r="O90" s="137">
        <f t="shared" si="20"/>
        <v>165096.4</v>
      </c>
      <c r="P90" s="11">
        <f t="shared" si="21"/>
        <v>2289044.2399999998</v>
      </c>
    </row>
    <row r="91" spans="2:17" customFormat="1" ht="15" x14ac:dyDescent="0.25">
      <c r="B91" s="286"/>
      <c r="C91" s="10" t="s">
        <v>217</v>
      </c>
      <c r="D91" s="137">
        <f t="shared" si="20"/>
        <v>74017.600000000006</v>
      </c>
      <c r="E91" s="137">
        <f t="shared" si="20"/>
        <v>85084</v>
      </c>
      <c r="F91" s="137">
        <f t="shared" si="20"/>
        <v>67902.600000000006</v>
      </c>
      <c r="G91" s="137">
        <f t="shared" si="20"/>
        <v>71670.399999999994</v>
      </c>
      <c r="H91" s="137">
        <f t="shared" si="20"/>
        <v>79560.399999999994</v>
      </c>
      <c r="I91" s="137">
        <f t="shared" si="20"/>
        <v>95188.74</v>
      </c>
      <c r="J91" s="137">
        <f t="shared" si="20"/>
        <v>125651.8</v>
      </c>
      <c r="K91" s="137">
        <f t="shared" si="20"/>
        <v>131761.4</v>
      </c>
      <c r="L91" s="137">
        <f t="shared" si="20"/>
        <v>131808.6</v>
      </c>
      <c r="M91" s="137">
        <f t="shared" si="20"/>
        <v>134690.29999999999</v>
      </c>
      <c r="N91" s="137">
        <f t="shared" si="20"/>
        <v>93586.6</v>
      </c>
      <c r="O91" s="137">
        <f t="shared" si="20"/>
        <v>94867.6</v>
      </c>
      <c r="P91" s="11">
        <f t="shared" si="21"/>
        <v>1185790.0400000003</v>
      </c>
    </row>
    <row r="92" spans="2:17" customFormat="1" ht="15" x14ac:dyDescent="0.25">
      <c r="B92" s="286"/>
      <c r="C92" s="10" t="s">
        <v>218</v>
      </c>
      <c r="D92" s="137">
        <f t="shared" si="20"/>
        <v>145606.39999999999</v>
      </c>
      <c r="E92" s="137">
        <f t="shared" si="20"/>
        <v>160953.79999999999</v>
      </c>
      <c r="F92" s="137">
        <f t="shared" si="20"/>
        <v>179737.2</v>
      </c>
      <c r="G92" s="137">
        <f t="shared" si="20"/>
        <v>158000.4</v>
      </c>
      <c r="H92" s="137">
        <f t="shared" si="20"/>
        <v>157434</v>
      </c>
      <c r="I92" s="137">
        <f t="shared" si="20"/>
        <v>195851</v>
      </c>
      <c r="J92" s="137">
        <f t="shared" si="20"/>
        <v>242580</v>
      </c>
      <c r="K92" s="137">
        <f t="shared" si="20"/>
        <v>249683.5</v>
      </c>
      <c r="L92" s="137">
        <f t="shared" si="20"/>
        <v>246818.4</v>
      </c>
      <c r="M92" s="137">
        <f t="shared" si="20"/>
        <v>564723.61</v>
      </c>
      <c r="N92" s="137">
        <f t="shared" si="20"/>
        <v>606292.80000000005</v>
      </c>
      <c r="O92" s="137">
        <f t="shared" si="20"/>
        <v>570861.02</v>
      </c>
      <c r="P92" s="11">
        <f t="shared" si="21"/>
        <v>3478542.1299999994</v>
      </c>
    </row>
    <row r="93" spans="2:17" customFormat="1" ht="15" x14ac:dyDescent="0.25">
      <c r="B93" s="278" t="s">
        <v>219</v>
      </c>
      <c r="C93" s="278"/>
      <c r="D93" s="12">
        <f>SUM(D85:D92)</f>
        <v>21895275.68</v>
      </c>
      <c r="E93" s="12">
        <f t="shared" ref="E93:O93" si="22">SUM(E85:E92)</f>
        <v>22094836.5</v>
      </c>
      <c r="F93" s="12">
        <f t="shared" si="22"/>
        <v>22230741.370000001</v>
      </c>
      <c r="G93" s="12">
        <f t="shared" si="22"/>
        <v>22091124.719999995</v>
      </c>
      <c r="H93" s="12">
        <f t="shared" si="22"/>
        <v>22445066.469999999</v>
      </c>
      <c r="I93" s="12">
        <f t="shared" si="22"/>
        <v>22776056.84</v>
      </c>
      <c r="J93" s="12">
        <f t="shared" si="22"/>
        <v>23088712.57</v>
      </c>
      <c r="K93" s="12">
        <f t="shared" si="22"/>
        <v>23205561.670000002</v>
      </c>
      <c r="L93" s="12">
        <f t="shared" si="22"/>
        <v>23889217.189999998</v>
      </c>
      <c r="M93" s="12">
        <f t="shared" si="22"/>
        <v>24251032.700000003</v>
      </c>
      <c r="N93" s="12">
        <f t="shared" si="22"/>
        <v>23361752.160000004</v>
      </c>
      <c r="O93" s="12">
        <f t="shared" si="22"/>
        <v>22870946.039999999</v>
      </c>
      <c r="P93" s="12">
        <f>SUM(D93:O93)</f>
        <v>274200323.90999997</v>
      </c>
    </row>
    <row r="94" spans="2:17" customFormat="1" ht="15" x14ac:dyDescent="0.25">
      <c r="B94" s="286" t="s">
        <v>189</v>
      </c>
      <c r="C94" s="10" t="s">
        <v>220</v>
      </c>
      <c r="D94" s="137">
        <f t="shared" ref="D94:O101" si="23">+D63+D32</f>
        <v>33412</v>
      </c>
      <c r="E94" s="137">
        <f t="shared" si="23"/>
        <v>32924</v>
      </c>
      <c r="F94" s="137">
        <f t="shared" si="23"/>
        <v>29016.260000000002</v>
      </c>
      <c r="G94" s="137">
        <f t="shared" si="23"/>
        <v>28506.18</v>
      </c>
      <c r="H94" s="137">
        <f t="shared" si="23"/>
        <v>28636</v>
      </c>
      <c r="I94" s="137">
        <f t="shared" si="23"/>
        <v>26884</v>
      </c>
      <c r="J94" s="137">
        <f t="shared" si="23"/>
        <v>26544.35</v>
      </c>
      <c r="K94" s="137">
        <f t="shared" si="23"/>
        <v>29892</v>
      </c>
      <c r="L94" s="137">
        <f t="shared" si="23"/>
        <v>27236</v>
      </c>
      <c r="M94" s="137">
        <f t="shared" si="23"/>
        <v>26691.96</v>
      </c>
      <c r="N94" s="137">
        <f t="shared" si="23"/>
        <v>26551.599999999999</v>
      </c>
      <c r="O94" s="137">
        <f t="shared" si="23"/>
        <v>26526</v>
      </c>
      <c r="P94" s="13">
        <f>SUM(D94:O94)</f>
        <v>342820.35000000003</v>
      </c>
    </row>
    <row r="95" spans="2:17" customFormat="1" ht="15" x14ac:dyDescent="0.25">
      <c r="B95" s="286"/>
      <c r="C95" s="10" t="s">
        <v>221</v>
      </c>
      <c r="D95" s="137">
        <f t="shared" si="23"/>
        <v>1812.8</v>
      </c>
      <c r="E95" s="137">
        <f t="shared" si="23"/>
        <v>7118.8</v>
      </c>
      <c r="F95" s="137">
        <f t="shared" si="23"/>
        <v>1812.6</v>
      </c>
      <c r="G95" s="137">
        <f t="shared" si="23"/>
        <v>1501.8</v>
      </c>
      <c r="H95" s="137">
        <f t="shared" si="23"/>
        <v>1350</v>
      </c>
      <c r="I95" s="137">
        <f t="shared" si="23"/>
        <v>1785.4</v>
      </c>
      <c r="J95" s="137">
        <f t="shared" si="23"/>
        <v>1869.4</v>
      </c>
      <c r="K95" s="137">
        <f t="shared" si="23"/>
        <v>1807.6</v>
      </c>
      <c r="L95" s="137">
        <f t="shared" si="23"/>
        <v>6671.4</v>
      </c>
      <c r="M95" s="137">
        <f t="shared" si="23"/>
        <v>1433.8</v>
      </c>
      <c r="N95" s="137">
        <f t="shared" si="23"/>
        <v>1084.4000000000001</v>
      </c>
      <c r="O95" s="137">
        <f t="shared" si="23"/>
        <v>1217.2</v>
      </c>
      <c r="P95" s="13">
        <f t="shared" ref="P95:P112" si="24">SUM(D95:O95)</f>
        <v>29465.199999999997</v>
      </c>
    </row>
    <row r="96" spans="2:17" customFormat="1" ht="15" x14ac:dyDescent="0.25">
      <c r="B96" s="286"/>
      <c r="C96" s="10" t="s">
        <v>222</v>
      </c>
      <c r="D96" s="137">
        <f t="shared" si="23"/>
        <v>7661.8</v>
      </c>
      <c r="E96" s="137">
        <f t="shared" si="23"/>
        <v>4110.2</v>
      </c>
      <c r="F96" s="137">
        <f t="shared" si="23"/>
        <v>7652.8</v>
      </c>
      <c r="G96" s="137">
        <f t="shared" si="23"/>
        <v>7314.6</v>
      </c>
      <c r="H96" s="137">
        <f t="shared" si="23"/>
        <v>7326.4</v>
      </c>
      <c r="I96" s="137">
        <f t="shared" si="23"/>
        <v>7483.6</v>
      </c>
      <c r="J96" s="137">
        <f t="shared" si="23"/>
        <v>6929.8</v>
      </c>
      <c r="K96" s="137">
        <f t="shared" si="23"/>
        <v>1858</v>
      </c>
      <c r="L96" s="137">
        <f t="shared" si="23"/>
        <v>2067.6</v>
      </c>
      <c r="M96" s="137">
        <f t="shared" si="23"/>
        <v>1639.4</v>
      </c>
      <c r="N96" s="137">
        <f t="shared" si="23"/>
        <v>1255</v>
      </c>
      <c r="O96" s="137">
        <f t="shared" si="23"/>
        <v>967.4</v>
      </c>
      <c r="P96" s="13">
        <f t="shared" si="24"/>
        <v>56266.600000000006</v>
      </c>
    </row>
    <row r="97" spans="2:16" customFormat="1" ht="15" x14ac:dyDescent="0.25">
      <c r="B97" s="286"/>
      <c r="C97" s="10" t="s">
        <v>223</v>
      </c>
      <c r="D97" s="137">
        <f t="shared" si="23"/>
        <v>402.4</v>
      </c>
      <c r="E97" s="137">
        <f t="shared" si="23"/>
        <v>550.6</v>
      </c>
      <c r="F97" s="137">
        <f t="shared" si="23"/>
        <v>540</v>
      </c>
      <c r="G97" s="137">
        <f t="shared" si="23"/>
        <v>336</v>
      </c>
      <c r="H97" s="137">
        <f t="shared" si="23"/>
        <v>269</v>
      </c>
      <c r="I97" s="137">
        <f t="shared" si="23"/>
        <v>264</v>
      </c>
      <c r="J97" s="137">
        <f t="shared" si="23"/>
        <v>390.2</v>
      </c>
      <c r="K97" s="137">
        <f t="shared" si="23"/>
        <v>275</v>
      </c>
      <c r="L97" s="137">
        <f t="shared" si="23"/>
        <v>329.8</v>
      </c>
      <c r="M97" s="137">
        <f t="shared" si="23"/>
        <v>196</v>
      </c>
      <c r="N97" s="137">
        <f t="shared" si="23"/>
        <v>256.2</v>
      </c>
      <c r="O97" s="137">
        <f t="shared" si="23"/>
        <v>88</v>
      </c>
      <c r="P97" s="13">
        <f t="shared" si="24"/>
        <v>3897.2</v>
      </c>
    </row>
    <row r="98" spans="2:16" customFormat="1" ht="15" x14ac:dyDescent="0.25">
      <c r="B98" s="286"/>
      <c r="C98" s="10" t="s">
        <v>224</v>
      </c>
      <c r="D98" s="137">
        <f t="shared" si="23"/>
        <v>168</v>
      </c>
      <c r="E98" s="137">
        <f t="shared" si="23"/>
        <v>266</v>
      </c>
      <c r="F98" s="137">
        <f t="shared" si="23"/>
        <v>112</v>
      </c>
      <c r="G98" s="137">
        <f t="shared" si="23"/>
        <v>159</v>
      </c>
      <c r="H98" s="137">
        <f t="shared" si="23"/>
        <v>150</v>
      </c>
      <c r="I98" s="137">
        <f t="shared" si="23"/>
        <v>37</v>
      </c>
      <c r="J98" s="137">
        <f t="shared" si="23"/>
        <v>0</v>
      </c>
      <c r="K98" s="137">
        <f t="shared" si="23"/>
        <v>87</v>
      </c>
      <c r="L98" s="137">
        <f t="shared" si="23"/>
        <v>72</v>
      </c>
      <c r="M98" s="137">
        <f t="shared" si="23"/>
        <v>77</v>
      </c>
      <c r="N98" s="137">
        <f t="shared" si="23"/>
        <v>0</v>
      </c>
      <c r="O98" s="137">
        <f t="shared" si="23"/>
        <v>195</v>
      </c>
      <c r="P98" s="13">
        <f t="shared" si="24"/>
        <v>1323</v>
      </c>
    </row>
    <row r="99" spans="2:16" customFormat="1" ht="15" x14ac:dyDescent="0.25">
      <c r="B99" s="286"/>
      <c r="C99" s="10" t="s">
        <v>225</v>
      </c>
      <c r="D99" s="137">
        <f t="shared" si="23"/>
        <v>165</v>
      </c>
      <c r="E99" s="137">
        <f t="shared" si="23"/>
        <v>108</v>
      </c>
      <c r="F99" s="137">
        <f t="shared" si="23"/>
        <v>55</v>
      </c>
      <c r="G99" s="137">
        <f t="shared" si="23"/>
        <v>53</v>
      </c>
      <c r="H99" s="137">
        <f t="shared" si="23"/>
        <v>0</v>
      </c>
      <c r="I99" s="137">
        <f t="shared" si="23"/>
        <v>0</v>
      </c>
      <c r="J99" s="137">
        <f t="shared" si="23"/>
        <v>169</v>
      </c>
      <c r="K99" s="137">
        <f t="shared" si="23"/>
        <v>116</v>
      </c>
      <c r="L99" s="137">
        <f t="shared" si="23"/>
        <v>120</v>
      </c>
      <c r="M99" s="137">
        <f t="shared" si="23"/>
        <v>0</v>
      </c>
      <c r="N99" s="137">
        <f t="shared" si="23"/>
        <v>0</v>
      </c>
      <c r="O99" s="137">
        <f t="shared" si="23"/>
        <v>0</v>
      </c>
      <c r="P99" s="13">
        <f t="shared" si="24"/>
        <v>786</v>
      </c>
    </row>
    <row r="100" spans="2:16" customFormat="1" ht="15" x14ac:dyDescent="0.25">
      <c r="B100" s="286"/>
      <c r="C100" s="10" t="s">
        <v>226</v>
      </c>
      <c r="D100" s="137">
        <f t="shared" si="23"/>
        <v>0</v>
      </c>
      <c r="E100" s="137">
        <f t="shared" si="23"/>
        <v>0</v>
      </c>
      <c r="F100" s="137">
        <f t="shared" si="23"/>
        <v>0</v>
      </c>
      <c r="G100" s="137">
        <f t="shared" si="23"/>
        <v>0</v>
      </c>
      <c r="H100" s="137">
        <f t="shared" si="23"/>
        <v>75</v>
      </c>
      <c r="I100" s="137">
        <f t="shared" si="23"/>
        <v>0</v>
      </c>
      <c r="J100" s="137">
        <f t="shared" si="23"/>
        <v>0</v>
      </c>
      <c r="K100" s="137">
        <f t="shared" si="23"/>
        <v>0</v>
      </c>
      <c r="L100" s="137">
        <f t="shared" si="23"/>
        <v>96</v>
      </c>
      <c r="M100" s="137">
        <f t="shared" si="23"/>
        <v>71</v>
      </c>
      <c r="N100" s="137">
        <f t="shared" si="23"/>
        <v>152</v>
      </c>
      <c r="O100" s="137">
        <f t="shared" si="23"/>
        <v>0</v>
      </c>
      <c r="P100" s="13">
        <f t="shared" si="24"/>
        <v>394</v>
      </c>
    </row>
    <row r="101" spans="2:16" customFormat="1" ht="15" x14ac:dyDescent="0.25">
      <c r="B101" s="286"/>
      <c r="C101" s="10" t="s">
        <v>218</v>
      </c>
      <c r="D101" s="137">
        <f t="shared" si="23"/>
        <v>0</v>
      </c>
      <c r="E101" s="137">
        <f t="shared" si="23"/>
        <v>0</v>
      </c>
      <c r="F101" s="137">
        <f t="shared" si="23"/>
        <v>0</v>
      </c>
      <c r="G101" s="137">
        <f t="shared" si="23"/>
        <v>0</v>
      </c>
      <c r="H101" s="137">
        <f t="shared" si="23"/>
        <v>0</v>
      </c>
      <c r="I101" s="137">
        <f t="shared" si="23"/>
        <v>0</v>
      </c>
      <c r="J101" s="137">
        <f t="shared" si="23"/>
        <v>0</v>
      </c>
      <c r="K101" s="137">
        <f t="shared" si="23"/>
        <v>0</v>
      </c>
      <c r="L101" s="137">
        <f t="shared" si="23"/>
        <v>0</v>
      </c>
      <c r="M101" s="137">
        <f t="shared" si="23"/>
        <v>0</v>
      </c>
      <c r="N101" s="137">
        <f t="shared" si="23"/>
        <v>0</v>
      </c>
      <c r="O101" s="137">
        <f t="shared" si="23"/>
        <v>0</v>
      </c>
      <c r="P101" s="13">
        <f t="shared" si="24"/>
        <v>0</v>
      </c>
    </row>
    <row r="102" spans="2:16" customFormat="1" ht="15" x14ac:dyDescent="0.25">
      <c r="B102" s="278" t="s">
        <v>219</v>
      </c>
      <c r="C102" s="278"/>
      <c r="D102" s="12">
        <f>SUM(D94:D101)</f>
        <v>43622.000000000007</v>
      </c>
      <c r="E102" s="12">
        <f t="shared" ref="E102:O102" si="25">SUM(E94:E101)</f>
        <v>45077.599999999999</v>
      </c>
      <c r="F102" s="12">
        <f t="shared" si="25"/>
        <v>39188.660000000003</v>
      </c>
      <c r="G102" s="12">
        <f t="shared" si="25"/>
        <v>37870.58</v>
      </c>
      <c r="H102" s="12">
        <f t="shared" si="25"/>
        <v>37806.400000000001</v>
      </c>
      <c r="I102" s="12">
        <f t="shared" si="25"/>
        <v>36454</v>
      </c>
      <c r="J102" s="12">
        <f t="shared" si="25"/>
        <v>35902.75</v>
      </c>
      <c r="K102" s="12">
        <f t="shared" si="25"/>
        <v>34035.599999999999</v>
      </c>
      <c r="L102" s="12">
        <f t="shared" si="25"/>
        <v>36592.800000000003</v>
      </c>
      <c r="M102" s="12">
        <f t="shared" si="25"/>
        <v>30109.16</v>
      </c>
      <c r="N102" s="12">
        <f t="shared" si="25"/>
        <v>29299.200000000001</v>
      </c>
      <c r="O102" s="12">
        <f t="shared" si="25"/>
        <v>28993.600000000002</v>
      </c>
      <c r="P102" s="12">
        <f t="shared" si="24"/>
        <v>434952.34999999992</v>
      </c>
    </row>
    <row r="103" spans="2:16" customFormat="1" ht="15" x14ac:dyDescent="0.25">
      <c r="B103" s="290" t="s">
        <v>190</v>
      </c>
      <c r="C103" s="17" t="s">
        <v>227</v>
      </c>
      <c r="D103" s="137">
        <f t="shared" ref="D103:O104" si="26">+D72+D41</f>
        <v>645595.92999999993</v>
      </c>
      <c r="E103" s="137">
        <f t="shared" si="26"/>
        <v>637334.46</v>
      </c>
      <c r="F103" s="137">
        <f t="shared" si="26"/>
        <v>639680.94999999995</v>
      </c>
      <c r="G103" s="137">
        <f t="shared" si="26"/>
        <v>644143.13</v>
      </c>
      <c r="H103" s="137">
        <f t="shared" si="26"/>
        <v>636432.15999999992</v>
      </c>
      <c r="I103" s="137">
        <f t="shared" si="26"/>
        <v>636231.56000000006</v>
      </c>
      <c r="J103" s="137">
        <f t="shared" si="26"/>
        <v>629158.28</v>
      </c>
      <c r="K103" s="137">
        <f t="shared" si="26"/>
        <v>617992.16999999993</v>
      </c>
      <c r="L103" s="137">
        <f t="shared" si="26"/>
        <v>605285.68999999994</v>
      </c>
      <c r="M103" s="137">
        <f t="shared" si="26"/>
        <v>612422.54</v>
      </c>
      <c r="N103" s="137">
        <f t="shared" si="26"/>
        <v>642273.07000000007</v>
      </c>
      <c r="O103" s="137">
        <f t="shared" si="26"/>
        <v>654262.32000000007</v>
      </c>
      <c r="P103" s="13">
        <f t="shared" si="24"/>
        <v>7600812.2600000007</v>
      </c>
    </row>
    <row r="104" spans="2:16" customFormat="1" ht="15" x14ac:dyDescent="0.25">
      <c r="B104" s="290"/>
      <c r="C104" s="17" t="s">
        <v>18</v>
      </c>
      <c r="D104" s="137">
        <f t="shared" si="26"/>
        <v>1690084.06</v>
      </c>
      <c r="E104" s="137">
        <f t="shared" si="26"/>
        <v>1760286.3800000001</v>
      </c>
      <c r="F104" s="137">
        <f t="shared" si="26"/>
        <v>1843815.76</v>
      </c>
      <c r="G104" s="137">
        <f t="shared" si="26"/>
        <v>1820175.99</v>
      </c>
      <c r="H104" s="137">
        <f t="shared" si="26"/>
        <v>1870627.77</v>
      </c>
      <c r="I104" s="137">
        <f t="shared" si="26"/>
        <v>1891739.59</v>
      </c>
      <c r="J104" s="137">
        <f t="shared" si="26"/>
        <v>1952582.9</v>
      </c>
      <c r="K104" s="137">
        <f t="shared" si="26"/>
        <v>2030673.16</v>
      </c>
      <c r="L104" s="137">
        <f t="shared" si="26"/>
        <v>2123278.87</v>
      </c>
      <c r="M104" s="137">
        <f t="shared" si="26"/>
        <v>2175641.41</v>
      </c>
      <c r="N104" s="137">
        <f t="shared" si="26"/>
        <v>2099442.06</v>
      </c>
      <c r="O104" s="137">
        <f t="shared" si="26"/>
        <v>1986667.84</v>
      </c>
      <c r="P104" s="13">
        <f t="shared" si="24"/>
        <v>23245015.789999999</v>
      </c>
    </row>
    <row r="105" spans="2:16" customFormat="1" ht="15" x14ac:dyDescent="0.25">
      <c r="B105" s="278" t="s">
        <v>219</v>
      </c>
      <c r="C105" s="278"/>
      <c r="D105" s="12">
        <f>SUM(D103:D104)</f>
        <v>2335679.9900000002</v>
      </c>
      <c r="E105" s="12">
        <f t="shared" ref="E105:O105" si="27">SUM(E103:E104)</f>
        <v>2397620.84</v>
      </c>
      <c r="F105" s="12">
        <f t="shared" si="27"/>
        <v>2483496.71</v>
      </c>
      <c r="G105" s="12">
        <f t="shared" si="27"/>
        <v>2464319.12</v>
      </c>
      <c r="H105" s="12">
        <f t="shared" si="27"/>
        <v>2507059.9299999997</v>
      </c>
      <c r="I105" s="12">
        <f t="shared" si="27"/>
        <v>2527971.1500000004</v>
      </c>
      <c r="J105" s="12">
        <f t="shared" si="27"/>
        <v>2581741.1799999997</v>
      </c>
      <c r="K105" s="12">
        <f t="shared" si="27"/>
        <v>2648665.33</v>
      </c>
      <c r="L105" s="12">
        <f t="shared" si="27"/>
        <v>2728564.56</v>
      </c>
      <c r="M105" s="12">
        <f t="shared" si="27"/>
        <v>2788063.95</v>
      </c>
      <c r="N105" s="12">
        <f t="shared" si="27"/>
        <v>2741715.13</v>
      </c>
      <c r="O105" s="12">
        <f t="shared" si="27"/>
        <v>2640930.16</v>
      </c>
      <c r="P105" s="12">
        <f t="shared" si="24"/>
        <v>30845828.049999997</v>
      </c>
    </row>
    <row r="106" spans="2:16" customFormat="1" ht="15" x14ac:dyDescent="0.25">
      <c r="B106" s="290" t="s">
        <v>191</v>
      </c>
      <c r="C106" s="17" t="s">
        <v>227</v>
      </c>
      <c r="D106" s="137">
        <f t="shared" ref="D106:O107" si="28">+D75+D44</f>
        <v>7863</v>
      </c>
      <c r="E106" s="137">
        <f t="shared" si="28"/>
        <v>9317.92</v>
      </c>
      <c r="F106" s="137">
        <f t="shared" si="28"/>
        <v>9821.52</v>
      </c>
      <c r="G106" s="137">
        <f t="shared" si="28"/>
        <v>10154.74</v>
      </c>
      <c r="H106" s="137">
        <f t="shared" si="28"/>
        <v>9655.84</v>
      </c>
      <c r="I106" s="137">
        <f t="shared" si="28"/>
        <v>7635</v>
      </c>
      <c r="J106" s="137">
        <f t="shared" si="28"/>
        <v>7008</v>
      </c>
      <c r="K106" s="137">
        <f t="shared" si="28"/>
        <v>7196</v>
      </c>
      <c r="L106" s="137">
        <f t="shared" si="28"/>
        <v>7162</v>
      </c>
      <c r="M106" s="137">
        <f t="shared" si="28"/>
        <v>8568.07</v>
      </c>
      <c r="N106" s="137">
        <f t="shared" si="28"/>
        <v>9188.32</v>
      </c>
      <c r="O106" s="137">
        <f t="shared" si="28"/>
        <v>9028.23</v>
      </c>
      <c r="P106" s="14">
        <f t="shared" si="24"/>
        <v>102598.64</v>
      </c>
    </row>
    <row r="107" spans="2:16" customFormat="1" ht="15" x14ac:dyDescent="0.25">
      <c r="B107" s="290"/>
      <c r="C107" s="17" t="s">
        <v>18</v>
      </c>
      <c r="D107" s="137">
        <f t="shared" si="28"/>
        <v>55914.89</v>
      </c>
      <c r="E107" s="137">
        <f t="shared" si="28"/>
        <v>54031</v>
      </c>
      <c r="F107" s="137">
        <f t="shared" si="28"/>
        <v>50478.8</v>
      </c>
      <c r="G107" s="137">
        <f t="shared" si="28"/>
        <v>52075</v>
      </c>
      <c r="H107" s="137">
        <f t="shared" si="28"/>
        <v>50011.8</v>
      </c>
      <c r="I107" s="137">
        <f t="shared" si="28"/>
        <v>56072.009999999995</v>
      </c>
      <c r="J107" s="137">
        <f t="shared" si="28"/>
        <v>74373.87</v>
      </c>
      <c r="K107" s="137">
        <f t="shared" si="28"/>
        <v>69131.56</v>
      </c>
      <c r="L107" s="137">
        <f t="shared" si="28"/>
        <v>69400.55</v>
      </c>
      <c r="M107" s="137">
        <f t="shared" si="28"/>
        <v>121771.26</v>
      </c>
      <c r="N107" s="137">
        <f t="shared" si="28"/>
        <v>74343.199999999997</v>
      </c>
      <c r="O107" s="137">
        <f t="shared" si="28"/>
        <v>65652.399999999994</v>
      </c>
      <c r="P107" s="14">
        <f t="shared" si="24"/>
        <v>793256.34</v>
      </c>
    </row>
    <row r="108" spans="2:16" customFormat="1" ht="15" x14ac:dyDescent="0.25">
      <c r="B108" s="278" t="s">
        <v>219</v>
      </c>
      <c r="C108" s="278"/>
      <c r="D108" s="12">
        <f>SUM(D106:D107)</f>
        <v>63777.89</v>
      </c>
      <c r="E108" s="12">
        <f t="shared" ref="E108:O108" si="29">SUM(E106:E107)</f>
        <v>63348.92</v>
      </c>
      <c r="F108" s="12">
        <f t="shared" si="29"/>
        <v>60300.320000000007</v>
      </c>
      <c r="G108" s="12">
        <f t="shared" si="29"/>
        <v>62229.74</v>
      </c>
      <c r="H108" s="12">
        <f t="shared" si="29"/>
        <v>59667.64</v>
      </c>
      <c r="I108" s="12">
        <f t="shared" si="29"/>
        <v>63707.009999999995</v>
      </c>
      <c r="J108" s="12">
        <f t="shared" si="29"/>
        <v>81381.87</v>
      </c>
      <c r="K108" s="12">
        <f t="shared" si="29"/>
        <v>76327.56</v>
      </c>
      <c r="L108" s="12">
        <f t="shared" si="29"/>
        <v>76562.55</v>
      </c>
      <c r="M108" s="12">
        <f t="shared" si="29"/>
        <v>130339.32999999999</v>
      </c>
      <c r="N108" s="12">
        <f t="shared" si="29"/>
        <v>83531.51999999999</v>
      </c>
      <c r="O108" s="12">
        <f t="shared" si="29"/>
        <v>74680.62999999999</v>
      </c>
      <c r="P108" s="12">
        <f t="shared" si="24"/>
        <v>895854.98</v>
      </c>
    </row>
    <row r="109" spans="2:16" customFormat="1" ht="15" x14ac:dyDescent="0.25">
      <c r="B109" s="290" t="s">
        <v>228</v>
      </c>
      <c r="C109" s="17" t="s">
        <v>227</v>
      </c>
      <c r="D109" s="137">
        <f t="shared" ref="D109:O110" si="30">+D78+D47</f>
        <v>16052.44</v>
      </c>
      <c r="E109" s="137">
        <f t="shared" si="30"/>
        <v>15949.57</v>
      </c>
      <c r="F109" s="137">
        <f t="shared" si="30"/>
        <v>15390.57</v>
      </c>
      <c r="G109" s="137">
        <f t="shared" si="30"/>
        <v>14834.57</v>
      </c>
      <c r="H109" s="137">
        <f t="shared" si="30"/>
        <v>14700.57</v>
      </c>
      <c r="I109" s="137">
        <f t="shared" si="30"/>
        <v>13774.57</v>
      </c>
      <c r="J109" s="137">
        <f t="shared" si="30"/>
        <v>14118.57</v>
      </c>
      <c r="K109" s="137">
        <f t="shared" si="30"/>
        <v>14233.44</v>
      </c>
      <c r="L109" s="137">
        <f t="shared" si="30"/>
        <v>20277</v>
      </c>
      <c r="M109" s="137">
        <f t="shared" si="30"/>
        <v>10206.130000000001</v>
      </c>
      <c r="N109" s="137">
        <f t="shared" si="30"/>
        <v>11380.17</v>
      </c>
      <c r="O109" s="137">
        <f t="shared" si="30"/>
        <v>15019.57</v>
      </c>
      <c r="P109" s="13">
        <f t="shared" si="24"/>
        <v>175937.17000000004</v>
      </c>
    </row>
    <row r="110" spans="2:16" customFormat="1" ht="15" x14ac:dyDescent="0.25">
      <c r="B110" s="290"/>
      <c r="C110" s="17" t="s">
        <v>18</v>
      </c>
      <c r="D110" s="137">
        <f t="shared" si="30"/>
        <v>1401674.01</v>
      </c>
      <c r="E110" s="137">
        <f t="shared" si="30"/>
        <v>1320674.6600000001</v>
      </c>
      <c r="F110" s="137">
        <f t="shared" si="30"/>
        <v>1354238</v>
      </c>
      <c r="G110" s="137">
        <f t="shared" si="30"/>
        <v>1559354.78</v>
      </c>
      <c r="H110" s="137">
        <f t="shared" si="30"/>
        <v>1480430.2000000002</v>
      </c>
      <c r="I110" s="137">
        <f t="shared" si="30"/>
        <v>1520891.72</v>
      </c>
      <c r="J110" s="137">
        <f t="shared" si="30"/>
        <v>1763051.85</v>
      </c>
      <c r="K110" s="137">
        <f t="shared" si="30"/>
        <v>1545288.03</v>
      </c>
      <c r="L110" s="137">
        <f t="shared" si="30"/>
        <v>1711809.06</v>
      </c>
      <c r="M110" s="137">
        <f t="shared" si="30"/>
        <v>1662564.24</v>
      </c>
      <c r="N110" s="137">
        <f t="shared" si="30"/>
        <v>1573722.5</v>
      </c>
      <c r="O110" s="137">
        <f t="shared" si="30"/>
        <v>1551445.9300000002</v>
      </c>
      <c r="P110" s="14">
        <f t="shared" si="24"/>
        <v>18445144.98</v>
      </c>
    </row>
    <row r="111" spans="2:16" customFormat="1" ht="15" x14ac:dyDescent="0.25">
      <c r="B111" s="278" t="s">
        <v>219</v>
      </c>
      <c r="C111" s="278"/>
      <c r="D111" s="12">
        <f>SUM(D109:D110)</f>
        <v>1417726.45</v>
      </c>
      <c r="E111" s="12">
        <f t="shared" ref="E111:O111" si="31">SUM(E109:E110)</f>
        <v>1336624.2300000002</v>
      </c>
      <c r="F111" s="12">
        <f t="shared" si="31"/>
        <v>1369628.57</v>
      </c>
      <c r="G111" s="12">
        <f t="shared" si="31"/>
        <v>1574189.35</v>
      </c>
      <c r="H111" s="12">
        <f t="shared" si="31"/>
        <v>1495130.7700000003</v>
      </c>
      <c r="I111" s="12">
        <f t="shared" si="31"/>
        <v>1534666.29</v>
      </c>
      <c r="J111" s="12">
        <f t="shared" si="31"/>
        <v>1777170.4200000002</v>
      </c>
      <c r="K111" s="12">
        <f t="shared" si="31"/>
        <v>1559521.47</v>
      </c>
      <c r="L111" s="12">
        <f t="shared" si="31"/>
        <v>1732086.06</v>
      </c>
      <c r="M111" s="12">
        <f t="shared" si="31"/>
        <v>1672770.3699999999</v>
      </c>
      <c r="N111" s="12">
        <f t="shared" si="31"/>
        <v>1585102.67</v>
      </c>
      <c r="O111" s="12">
        <f t="shared" si="31"/>
        <v>1566465.5000000002</v>
      </c>
      <c r="P111" s="12">
        <f t="shared" si="24"/>
        <v>18621082.149999999</v>
      </c>
    </row>
    <row r="112" spans="2:16" customFormat="1" ht="15" x14ac:dyDescent="0.25">
      <c r="B112" s="288" t="s">
        <v>229</v>
      </c>
      <c r="C112" s="288"/>
      <c r="D112" s="15">
        <f>D93+D102+D105+D108+D111</f>
        <v>25756082.010000002</v>
      </c>
      <c r="E112" s="15">
        <f t="shared" ref="E112:O112" si="32">E93+E102+E105+E108+E111</f>
        <v>25937508.090000004</v>
      </c>
      <c r="F112" s="15">
        <f t="shared" si="32"/>
        <v>26183355.630000003</v>
      </c>
      <c r="G112" s="15">
        <f t="shared" si="32"/>
        <v>26229733.509999994</v>
      </c>
      <c r="H112" s="15">
        <f t="shared" si="32"/>
        <v>26544731.209999997</v>
      </c>
      <c r="I112" s="15">
        <f t="shared" si="32"/>
        <v>26938855.290000003</v>
      </c>
      <c r="J112" s="15">
        <f t="shared" si="32"/>
        <v>27564908.790000003</v>
      </c>
      <c r="K112" s="15">
        <f t="shared" si="32"/>
        <v>27524111.629999999</v>
      </c>
      <c r="L112" s="15">
        <f t="shared" si="32"/>
        <v>28463023.159999996</v>
      </c>
      <c r="M112" s="15">
        <f t="shared" si="32"/>
        <v>28872315.510000002</v>
      </c>
      <c r="N112" s="15">
        <f t="shared" si="32"/>
        <v>27801400.68</v>
      </c>
      <c r="O112" s="15">
        <f t="shared" si="32"/>
        <v>27182015.93</v>
      </c>
      <c r="P112" s="15">
        <f t="shared" si="24"/>
        <v>324998041.44</v>
      </c>
    </row>
    <row r="113" spans="2:16" x14ac:dyDescent="0.2">
      <c r="B113" s="7" t="s">
        <v>202</v>
      </c>
    </row>
    <row r="114" spans="2:16" x14ac:dyDescent="0.2">
      <c r="P114" s="16"/>
    </row>
    <row r="115" spans="2:16" x14ac:dyDescent="0.2">
      <c r="P115" s="16"/>
    </row>
    <row r="116" spans="2:16" x14ac:dyDescent="0.2">
      <c r="P116" s="16"/>
    </row>
  </sheetData>
  <mergeCells count="41">
    <mergeCell ref="B106:B107"/>
    <mergeCell ref="B108:C108"/>
    <mergeCell ref="B109:B110"/>
    <mergeCell ref="B111:C111"/>
    <mergeCell ref="B112:C112"/>
    <mergeCell ref="B105:C105"/>
    <mergeCell ref="B75:B76"/>
    <mergeCell ref="B77:C77"/>
    <mergeCell ref="B78:B79"/>
    <mergeCell ref="B80:C80"/>
    <mergeCell ref="B81:C81"/>
    <mergeCell ref="B83:P83"/>
    <mergeCell ref="B85:B92"/>
    <mergeCell ref="B93:C93"/>
    <mergeCell ref="B94:B101"/>
    <mergeCell ref="B102:C102"/>
    <mergeCell ref="B103:B104"/>
    <mergeCell ref="B74:C74"/>
    <mergeCell ref="B44:B45"/>
    <mergeCell ref="B46:C46"/>
    <mergeCell ref="B47:B48"/>
    <mergeCell ref="B49:C49"/>
    <mergeCell ref="B50:C50"/>
    <mergeCell ref="B52:P52"/>
    <mergeCell ref="B54:B61"/>
    <mergeCell ref="B62:C62"/>
    <mergeCell ref="B63:B70"/>
    <mergeCell ref="B71:C71"/>
    <mergeCell ref="B72:B73"/>
    <mergeCell ref="B43:C43"/>
    <mergeCell ref="B8:P8"/>
    <mergeCell ref="B9:C9"/>
    <mergeCell ref="B10:C10"/>
    <mergeCell ref="B11:C11"/>
    <mergeCell ref="B12:C12"/>
    <mergeCell ref="B21:P21"/>
    <mergeCell ref="B23:B30"/>
    <mergeCell ref="B31:C31"/>
    <mergeCell ref="B32:B39"/>
    <mergeCell ref="B40:C40"/>
    <mergeCell ref="B41:B42"/>
  </mergeCells>
  <pageMargins left="0.511811024" right="0.511811024" top="0.78740157499999996" bottom="0.78740157499999996" header="0.31496062000000002" footer="0.31496062000000002"/>
  <pageSetup paperSize="9" scale="35" orientation="portrait" r:id="rId1"/>
  <ignoredErrors>
    <ignoredError sqref="D93:P93 D102:P102 D105:P105 D108:P108" formula="1"/>
    <ignoredError sqref="D1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>
    <tabColor rgb="FF00B050"/>
  </sheetPr>
  <dimension ref="B3:N76"/>
  <sheetViews>
    <sheetView showGridLines="0" zoomScale="80" zoomScaleNormal="80" workbookViewId="0">
      <selection activeCell="B2" sqref="B2"/>
    </sheetView>
  </sheetViews>
  <sheetFormatPr defaultRowHeight="15" x14ac:dyDescent="0.25"/>
  <cols>
    <col min="2" max="2" width="28.42578125" bestFit="1" customWidth="1"/>
    <col min="3" max="3" width="20.5703125" customWidth="1"/>
    <col min="4" max="4" width="0.85546875" customWidth="1"/>
    <col min="5" max="5" width="27" bestFit="1" customWidth="1"/>
    <col min="6" max="6" width="19.42578125" customWidth="1"/>
    <col min="7" max="7" width="1.140625" customWidth="1"/>
    <col min="8" max="8" width="25.140625" bestFit="1" customWidth="1"/>
    <col min="10" max="10" width="38.7109375" customWidth="1"/>
    <col min="11" max="14" width="23" customWidth="1"/>
  </cols>
  <sheetData>
    <row r="3" spans="2:14" ht="18" x14ac:dyDescent="0.25">
      <c r="E3" s="269" t="s">
        <v>180</v>
      </c>
      <c r="F3" s="269"/>
      <c r="G3" s="269"/>
      <c r="H3" s="269"/>
      <c r="I3" s="269"/>
      <c r="J3" s="269"/>
      <c r="K3" s="269"/>
    </row>
    <row r="6" spans="2:14" ht="18.75" customHeight="1" x14ac:dyDescent="0.25">
      <c r="B6" s="291" t="s">
        <v>181</v>
      </c>
      <c r="C6" s="292"/>
      <c r="D6" s="292"/>
      <c r="E6" s="292"/>
      <c r="F6" s="292"/>
      <c r="G6" s="292"/>
      <c r="H6" s="293"/>
      <c r="J6" s="291" t="s">
        <v>182</v>
      </c>
      <c r="K6" s="292"/>
      <c r="L6" s="292"/>
      <c r="M6" s="292"/>
      <c r="N6" s="292"/>
    </row>
    <row r="7" spans="2:14" ht="15.75" x14ac:dyDescent="0.25">
      <c r="B7" s="45" t="s">
        <v>183</v>
      </c>
      <c r="C7" s="45" t="s">
        <v>184</v>
      </c>
      <c r="D7" s="46"/>
      <c r="E7" s="45" t="s">
        <v>185</v>
      </c>
      <c r="F7" s="45" t="s">
        <v>186</v>
      </c>
      <c r="G7" s="46"/>
      <c r="H7" s="45" t="s">
        <v>187</v>
      </c>
      <c r="J7" s="45"/>
      <c r="K7" s="45" t="s">
        <v>188</v>
      </c>
      <c r="L7" s="45" t="s">
        <v>189</v>
      </c>
      <c r="M7" s="45" t="s">
        <v>190</v>
      </c>
      <c r="N7" s="45" t="s">
        <v>191</v>
      </c>
    </row>
    <row r="8" spans="2:14" ht="15.75" x14ac:dyDescent="0.25">
      <c r="B8" s="47">
        <v>42736</v>
      </c>
      <c r="C8" s="161">
        <v>5963729</v>
      </c>
      <c r="D8" s="48"/>
      <c r="E8" s="47">
        <v>43101</v>
      </c>
      <c r="F8" s="161">
        <v>4185287</v>
      </c>
      <c r="G8" s="49"/>
      <c r="H8" s="50">
        <f>IF(C8-F8&lt;=0,"",C8-F8)</f>
        <v>1778442</v>
      </c>
      <c r="J8" s="51" t="s">
        <v>192</v>
      </c>
      <c r="K8" s="166">
        <f>SUM(H8:H19)</f>
        <v>12218583</v>
      </c>
      <c r="L8" s="52">
        <f>SUM(H23:H34)</f>
        <v>7354</v>
      </c>
      <c r="M8" s="52">
        <f>SUM(H38:H49)</f>
        <v>1750873</v>
      </c>
      <c r="N8" s="52">
        <f>SUM(H53:H64)</f>
        <v>121010</v>
      </c>
    </row>
    <row r="9" spans="2:14" ht="15.75" x14ac:dyDescent="0.25">
      <c r="B9" s="47">
        <f>+B8+31</f>
        <v>42767</v>
      </c>
      <c r="C9" s="161">
        <v>3002535</v>
      </c>
      <c r="D9" s="48"/>
      <c r="E9" s="47">
        <f>+E8+31</f>
        <v>43132</v>
      </c>
      <c r="F9" s="161">
        <v>2169550</v>
      </c>
      <c r="G9" s="49"/>
      <c r="H9" s="50">
        <f t="shared" ref="H9:H19" si="0">IF(C9-F9&lt;=0,"",C9-F9)</f>
        <v>832985</v>
      </c>
      <c r="J9" s="53" t="s">
        <v>193</v>
      </c>
      <c r="K9" s="167">
        <v>0.2</v>
      </c>
      <c r="L9" s="54">
        <v>0.2</v>
      </c>
      <c r="M9" s="54">
        <v>0.2</v>
      </c>
      <c r="N9" s="54">
        <v>0.2</v>
      </c>
    </row>
    <row r="10" spans="2:14" ht="15.75" x14ac:dyDescent="0.25">
      <c r="B10" s="47">
        <f t="shared" ref="B10:B19" si="1">+B9+31</f>
        <v>42798</v>
      </c>
      <c r="C10" s="161">
        <v>3516533</v>
      </c>
      <c r="D10" s="48"/>
      <c r="E10" s="47">
        <f t="shared" ref="E10:E19" si="2">+E9+31</f>
        <v>43163</v>
      </c>
      <c r="F10" s="161">
        <v>2559986</v>
      </c>
      <c r="G10" s="49"/>
      <c r="H10" s="50">
        <f t="shared" si="0"/>
        <v>956547</v>
      </c>
      <c r="J10" s="53" t="s">
        <v>194</v>
      </c>
      <c r="K10" s="168">
        <f>K8*K9</f>
        <v>2443716.6</v>
      </c>
      <c r="L10" s="55">
        <f>L8*L9</f>
        <v>1470.8000000000002</v>
      </c>
      <c r="M10" s="55">
        <f>M8*M9</f>
        <v>350174.60000000003</v>
      </c>
      <c r="N10" s="55">
        <f>N8*N9</f>
        <v>24202</v>
      </c>
    </row>
    <row r="11" spans="2:14" ht="15.75" x14ac:dyDescent="0.25">
      <c r="B11" s="47">
        <f t="shared" si="1"/>
        <v>42829</v>
      </c>
      <c r="C11" s="161">
        <v>4513369</v>
      </c>
      <c r="D11" s="48"/>
      <c r="E11" s="47">
        <f t="shared" si="2"/>
        <v>43194</v>
      </c>
      <c r="F11" s="161">
        <v>3307332</v>
      </c>
      <c r="G11" s="49"/>
      <c r="H11" s="50">
        <f t="shared" si="0"/>
        <v>1206037</v>
      </c>
      <c r="J11" s="56" t="s">
        <v>195</v>
      </c>
      <c r="K11" s="169">
        <f>'Tarifas 2019'!D34</f>
        <v>3.0382495782512153</v>
      </c>
      <c r="L11" s="57">
        <f>+'Tarifas 2019'!C34</f>
        <v>2.2761123959102321</v>
      </c>
      <c r="M11" s="57">
        <f>'Tarifas 2019'!C43</f>
        <v>7.7037650323115558</v>
      </c>
      <c r="N11" s="57">
        <f>'Tarifas 2019'!D43</f>
        <v>7.7037650323115558</v>
      </c>
    </row>
    <row r="12" spans="2:14" ht="15.75" x14ac:dyDescent="0.25">
      <c r="B12" s="47">
        <f t="shared" si="1"/>
        <v>42860</v>
      </c>
      <c r="C12" s="161">
        <v>3293854</v>
      </c>
      <c r="D12" s="48"/>
      <c r="E12" s="47">
        <f t="shared" si="2"/>
        <v>43225</v>
      </c>
      <c r="F12" s="161">
        <v>2437453</v>
      </c>
      <c r="G12" s="49"/>
      <c r="H12" s="50">
        <f t="shared" si="0"/>
        <v>856401</v>
      </c>
      <c r="J12" s="56" t="s">
        <v>196</v>
      </c>
      <c r="K12" s="170">
        <f>K10*K11</f>
        <v>7424620.9293154944</v>
      </c>
      <c r="L12" s="58">
        <f>L10*L11</f>
        <v>3347.7061119047698</v>
      </c>
      <c r="M12" s="58">
        <f>M10*M11</f>
        <v>2697662.8386836862</v>
      </c>
      <c r="N12" s="58">
        <f>N10*N11</f>
        <v>186446.52131200428</v>
      </c>
    </row>
    <row r="13" spans="2:14" ht="15.75" x14ac:dyDescent="0.25">
      <c r="B13" s="47">
        <f t="shared" si="1"/>
        <v>42891</v>
      </c>
      <c r="C13" s="161">
        <v>3928090</v>
      </c>
      <c r="D13" s="48"/>
      <c r="E13" s="47">
        <f t="shared" si="2"/>
        <v>43256</v>
      </c>
      <c r="F13" s="161">
        <v>2920155</v>
      </c>
      <c r="G13" s="49"/>
      <c r="H13" s="50">
        <f t="shared" si="0"/>
        <v>1007935</v>
      </c>
      <c r="J13" s="59" t="s">
        <v>197</v>
      </c>
      <c r="K13" s="60"/>
      <c r="L13" s="61" t="s">
        <v>198</v>
      </c>
    </row>
    <row r="14" spans="2:14" ht="15.75" x14ac:dyDescent="0.25">
      <c r="B14" s="47">
        <f t="shared" si="1"/>
        <v>42922</v>
      </c>
      <c r="C14" s="161">
        <v>3012503</v>
      </c>
      <c r="D14" s="48"/>
      <c r="E14" s="47">
        <f t="shared" si="2"/>
        <v>43287</v>
      </c>
      <c r="F14" s="161">
        <v>2211100</v>
      </c>
      <c r="G14" s="49"/>
      <c r="H14" s="50">
        <f t="shared" si="0"/>
        <v>801403</v>
      </c>
      <c r="J14" t="s">
        <v>199</v>
      </c>
    </row>
    <row r="15" spans="2:14" ht="15.75" x14ac:dyDescent="0.25">
      <c r="B15" s="47">
        <f t="shared" si="1"/>
        <v>42953</v>
      </c>
      <c r="C15" s="161">
        <v>3537950</v>
      </c>
      <c r="D15" s="48"/>
      <c r="E15" s="47">
        <f t="shared" si="2"/>
        <v>43318</v>
      </c>
      <c r="F15" s="161">
        <v>2613055</v>
      </c>
      <c r="G15" s="49"/>
      <c r="H15" s="50">
        <f t="shared" si="0"/>
        <v>924895</v>
      </c>
      <c r="J15" s="171" t="s">
        <v>200</v>
      </c>
      <c r="K15" s="172">
        <f>SUM(K12:N12)+K13</f>
        <v>10312077.99542309</v>
      </c>
    </row>
    <row r="16" spans="2:14" ht="15.75" x14ac:dyDescent="0.25">
      <c r="B16" s="47">
        <f t="shared" si="1"/>
        <v>42984</v>
      </c>
      <c r="C16" s="161">
        <v>4472833</v>
      </c>
      <c r="D16" s="48"/>
      <c r="E16" s="47">
        <f t="shared" si="2"/>
        <v>43349</v>
      </c>
      <c r="F16" s="161">
        <v>3333943</v>
      </c>
      <c r="G16" s="49"/>
      <c r="H16" s="50">
        <f t="shared" si="0"/>
        <v>1138890</v>
      </c>
    </row>
    <row r="17" spans="2:8" ht="15.75" x14ac:dyDescent="0.25">
      <c r="B17" s="47">
        <f t="shared" si="1"/>
        <v>43015</v>
      </c>
      <c r="C17" s="161">
        <v>3409950</v>
      </c>
      <c r="D17" s="48"/>
      <c r="E17" s="47">
        <f t="shared" si="2"/>
        <v>43380</v>
      </c>
      <c r="F17" s="161">
        <v>2511306</v>
      </c>
      <c r="G17" s="49"/>
      <c r="H17" s="50">
        <f t="shared" si="0"/>
        <v>898644</v>
      </c>
    </row>
    <row r="18" spans="2:8" ht="15.75" x14ac:dyDescent="0.25">
      <c r="B18" s="47">
        <f t="shared" si="1"/>
        <v>43046</v>
      </c>
      <c r="C18" s="161">
        <v>3081596</v>
      </c>
      <c r="D18" s="48"/>
      <c r="E18" s="47">
        <f t="shared" si="2"/>
        <v>43411</v>
      </c>
      <c r="F18" s="161">
        <v>2233102</v>
      </c>
      <c r="G18" s="49"/>
      <c r="H18" s="50">
        <f t="shared" si="0"/>
        <v>848494</v>
      </c>
    </row>
    <row r="19" spans="2:8" ht="15.75" x14ac:dyDescent="0.25">
      <c r="B19" s="47">
        <f t="shared" si="1"/>
        <v>43077</v>
      </c>
      <c r="C19" s="161">
        <v>3739802</v>
      </c>
      <c r="D19" s="48"/>
      <c r="E19" s="47">
        <f t="shared" si="2"/>
        <v>43442</v>
      </c>
      <c r="F19" s="161">
        <v>2771892</v>
      </c>
      <c r="G19" s="49"/>
      <c r="H19" s="50">
        <f t="shared" si="0"/>
        <v>967910</v>
      </c>
    </row>
    <row r="21" spans="2:8" ht="18.75" customHeight="1" x14ac:dyDescent="0.25">
      <c r="B21" s="291" t="s">
        <v>201</v>
      </c>
      <c r="C21" s="292"/>
      <c r="D21" s="292"/>
      <c r="E21" s="292"/>
      <c r="F21" s="292"/>
      <c r="G21" s="292"/>
      <c r="H21" s="293"/>
    </row>
    <row r="22" spans="2:8" ht="15.75" x14ac:dyDescent="0.25">
      <c r="B22" s="45" t="s">
        <v>183</v>
      </c>
      <c r="C22" s="45" t="s">
        <v>184</v>
      </c>
      <c r="D22" s="46"/>
      <c r="E22" s="45" t="s">
        <v>185</v>
      </c>
      <c r="F22" s="45" t="s">
        <v>186</v>
      </c>
      <c r="G22" s="46"/>
      <c r="H22" s="45" t="s">
        <v>187</v>
      </c>
    </row>
    <row r="23" spans="2:8" ht="15.75" x14ac:dyDescent="0.25">
      <c r="B23" s="47">
        <f>+B8</f>
        <v>42736</v>
      </c>
      <c r="C23" s="161">
        <v>1488</v>
      </c>
      <c r="D23" s="48"/>
      <c r="E23" s="47">
        <f>+E8</f>
        <v>43101</v>
      </c>
      <c r="F23" s="161">
        <v>949</v>
      </c>
      <c r="G23" s="49"/>
      <c r="H23" s="50">
        <f t="shared" ref="H23:H34" si="3">IF(C23-F23&lt;=0,"",C23-F23)</f>
        <v>539</v>
      </c>
    </row>
    <row r="24" spans="2:8" ht="15.75" x14ac:dyDescent="0.25">
      <c r="B24" s="47">
        <f t="shared" ref="B24:B34" si="4">+B9</f>
        <v>42767</v>
      </c>
      <c r="C24" s="161">
        <v>1152</v>
      </c>
      <c r="D24" s="48"/>
      <c r="E24" s="47">
        <f t="shared" ref="E24:E34" si="5">+E9</f>
        <v>43132</v>
      </c>
      <c r="F24" s="161">
        <v>644</v>
      </c>
      <c r="G24" s="49"/>
      <c r="H24" s="50">
        <f t="shared" si="3"/>
        <v>508</v>
      </c>
    </row>
    <row r="25" spans="2:8" ht="15.75" x14ac:dyDescent="0.25">
      <c r="B25" s="47">
        <f t="shared" si="4"/>
        <v>42798</v>
      </c>
      <c r="C25" s="161">
        <v>1106</v>
      </c>
      <c r="D25" s="48"/>
      <c r="E25" s="47">
        <f t="shared" si="5"/>
        <v>43163</v>
      </c>
      <c r="F25" s="161">
        <v>766</v>
      </c>
      <c r="G25" s="49"/>
      <c r="H25" s="50">
        <f t="shared" si="3"/>
        <v>340</v>
      </c>
    </row>
    <row r="26" spans="2:8" ht="15.75" x14ac:dyDescent="0.25">
      <c r="B26" s="47">
        <f t="shared" si="4"/>
        <v>42829</v>
      </c>
      <c r="C26" s="161">
        <v>4216</v>
      </c>
      <c r="D26" s="48"/>
      <c r="E26" s="47">
        <f t="shared" si="5"/>
        <v>43194</v>
      </c>
      <c r="F26" s="161">
        <v>3775</v>
      </c>
      <c r="G26" s="49"/>
      <c r="H26" s="50">
        <f t="shared" si="3"/>
        <v>441</v>
      </c>
    </row>
    <row r="27" spans="2:8" ht="15.75" x14ac:dyDescent="0.25">
      <c r="B27" s="47">
        <f t="shared" si="4"/>
        <v>42860</v>
      </c>
      <c r="C27" s="161">
        <v>3878</v>
      </c>
      <c r="D27" s="48"/>
      <c r="E27" s="47">
        <f t="shared" si="5"/>
        <v>43225</v>
      </c>
      <c r="F27" s="161">
        <v>3477</v>
      </c>
      <c r="G27" s="49"/>
      <c r="H27" s="50">
        <f t="shared" si="3"/>
        <v>401</v>
      </c>
    </row>
    <row r="28" spans="2:8" ht="15.75" x14ac:dyDescent="0.25">
      <c r="B28" s="47">
        <f t="shared" si="4"/>
        <v>42891</v>
      </c>
      <c r="C28" s="161">
        <v>1137</v>
      </c>
      <c r="D28" s="48"/>
      <c r="E28" s="47">
        <f t="shared" si="5"/>
        <v>43256</v>
      </c>
      <c r="F28" s="161">
        <v>783</v>
      </c>
      <c r="G28" s="49"/>
      <c r="H28" s="50">
        <f t="shared" si="3"/>
        <v>354</v>
      </c>
    </row>
    <row r="29" spans="2:8" ht="15.75" x14ac:dyDescent="0.25">
      <c r="B29" s="47">
        <f t="shared" si="4"/>
        <v>42922</v>
      </c>
      <c r="C29" s="161">
        <v>3594</v>
      </c>
      <c r="D29" s="48"/>
      <c r="E29" s="47">
        <f t="shared" si="5"/>
        <v>43287</v>
      </c>
      <c r="F29" s="161">
        <v>3128</v>
      </c>
      <c r="G29" s="49"/>
      <c r="H29" s="50">
        <f t="shared" si="3"/>
        <v>466</v>
      </c>
    </row>
    <row r="30" spans="2:8" ht="15.75" x14ac:dyDescent="0.25">
      <c r="B30" s="47">
        <f t="shared" si="4"/>
        <v>42953</v>
      </c>
      <c r="C30" s="161">
        <v>3949</v>
      </c>
      <c r="D30" s="48"/>
      <c r="E30" s="47">
        <f t="shared" si="5"/>
        <v>43318</v>
      </c>
      <c r="F30" s="161">
        <v>1074</v>
      </c>
      <c r="G30" s="49"/>
      <c r="H30" s="50">
        <f t="shared" si="3"/>
        <v>2875</v>
      </c>
    </row>
    <row r="31" spans="2:8" ht="15.75" x14ac:dyDescent="0.25">
      <c r="B31" s="47">
        <f t="shared" si="4"/>
        <v>42984</v>
      </c>
      <c r="C31" s="161">
        <v>1326</v>
      </c>
      <c r="D31" s="48"/>
      <c r="E31" s="47">
        <f t="shared" si="5"/>
        <v>43349</v>
      </c>
      <c r="F31" s="161">
        <v>930</v>
      </c>
      <c r="G31" s="49"/>
      <c r="H31" s="50">
        <f t="shared" si="3"/>
        <v>396</v>
      </c>
    </row>
    <row r="32" spans="2:8" ht="15.75" x14ac:dyDescent="0.25">
      <c r="B32" s="47">
        <f t="shared" si="4"/>
        <v>43015</v>
      </c>
      <c r="C32" s="161">
        <v>1065</v>
      </c>
      <c r="D32" s="48"/>
      <c r="E32" s="47">
        <f t="shared" si="5"/>
        <v>43380</v>
      </c>
      <c r="F32" s="161">
        <v>721</v>
      </c>
      <c r="G32" s="49"/>
      <c r="H32" s="50">
        <f t="shared" si="3"/>
        <v>344</v>
      </c>
    </row>
    <row r="33" spans="2:10" ht="15.75" x14ac:dyDescent="0.25">
      <c r="B33" s="47">
        <f t="shared" si="4"/>
        <v>43046</v>
      </c>
      <c r="C33" s="161">
        <v>945</v>
      </c>
      <c r="D33" s="48"/>
      <c r="E33" s="47">
        <f t="shared" si="5"/>
        <v>43411</v>
      </c>
      <c r="F33" s="161">
        <v>647</v>
      </c>
      <c r="G33" s="49"/>
      <c r="H33" s="50">
        <f t="shared" si="3"/>
        <v>298</v>
      </c>
    </row>
    <row r="34" spans="2:10" ht="15.75" x14ac:dyDescent="0.25">
      <c r="B34" s="47">
        <f t="shared" si="4"/>
        <v>43077</v>
      </c>
      <c r="C34" s="161">
        <v>1063</v>
      </c>
      <c r="D34" s="48"/>
      <c r="E34" s="47">
        <f t="shared" si="5"/>
        <v>43442</v>
      </c>
      <c r="F34" s="161">
        <v>671</v>
      </c>
      <c r="G34" s="49"/>
      <c r="H34" s="50">
        <f t="shared" si="3"/>
        <v>392</v>
      </c>
    </row>
    <row r="35" spans="2:10" x14ac:dyDescent="0.25">
      <c r="J35" t="s">
        <v>202</v>
      </c>
    </row>
    <row r="36" spans="2:10" ht="18.75" customHeight="1" x14ac:dyDescent="0.25">
      <c r="B36" s="291" t="s">
        <v>203</v>
      </c>
      <c r="C36" s="292"/>
      <c r="D36" s="292"/>
      <c r="E36" s="292"/>
      <c r="F36" s="292"/>
      <c r="G36" s="292"/>
      <c r="H36" s="293"/>
    </row>
    <row r="37" spans="2:10" ht="15.75" x14ac:dyDescent="0.25">
      <c r="B37" s="45" t="s">
        <v>183</v>
      </c>
      <c r="C37" s="45" t="s">
        <v>184</v>
      </c>
      <c r="D37" s="46"/>
      <c r="E37" s="45" t="s">
        <v>185</v>
      </c>
      <c r="F37" s="45" t="s">
        <v>186</v>
      </c>
      <c r="G37" s="46"/>
      <c r="H37" s="45" t="s">
        <v>187</v>
      </c>
    </row>
    <row r="38" spans="2:10" ht="15.75" x14ac:dyDescent="0.25">
      <c r="B38" s="47">
        <f>+B23</f>
        <v>42736</v>
      </c>
      <c r="C38" s="161">
        <v>620013</v>
      </c>
      <c r="D38" s="48"/>
      <c r="E38" s="47">
        <f>+E23</f>
        <v>43101</v>
      </c>
      <c r="F38" s="161">
        <v>402230</v>
      </c>
      <c r="G38" s="49"/>
      <c r="H38" s="50">
        <f t="shared" ref="H38:H49" si="6">IF(C38-F38&lt;=0,"",C38-F38)</f>
        <v>217783</v>
      </c>
    </row>
    <row r="39" spans="2:10" ht="15.75" x14ac:dyDescent="0.25">
      <c r="B39" s="47">
        <f t="shared" ref="B39:B49" si="7">+B24</f>
        <v>42767</v>
      </c>
      <c r="C39" s="161">
        <v>425632</v>
      </c>
      <c r="D39" s="48"/>
      <c r="E39" s="47">
        <f t="shared" ref="E39:E49" si="8">+E24</f>
        <v>43132</v>
      </c>
      <c r="F39" s="161">
        <v>285044</v>
      </c>
      <c r="G39" s="49"/>
      <c r="H39" s="50">
        <f t="shared" si="6"/>
        <v>140588</v>
      </c>
    </row>
    <row r="40" spans="2:10" ht="15.75" x14ac:dyDescent="0.25">
      <c r="B40" s="47">
        <f t="shared" si="7"/>
        <v>42798</v>
      </c>
      <c r="C40" s="161">
        <v>412418</v>
      </c>
      <c r="D40" s="48"/>
      <c r="E40" s="47">
        <f t="shared" si="8"/>
        <v>43163</v>
      </c>
      <c r="F40" s="161">
        <v>280875</v>
      </c>
      <c r="G40" s="49"/>
      <c r="H40" s="50">
        <f t="shared" si="6"/>
        <v>131543</v>
      </c>
    </row>
    <row r="41" spans="2:10" ht="15.75" x14ac:dyDescent="0.25">
      <c r="B41" s="47">
        <f t="shared" si="7"/>
        <v>42829</v>
      </c>
      <c r="C41" s="161">
        <v>558386</v>
      </c>
      <c r="D41" s="48"/>
      <c r="E41" s="47">
        <f t="shared" si="8"/>
        <v>43194</v>
      </c>
      <c r="F41" s="161">
        <v>387166</v>
      </c>
      <c r="G41" s="49"/>
      <c r="H41" s="50">
        <f t="shared" si="6"/>
        <v>171220</v>
      </c>
    </row>
    <row r="42" spans="2:10" ht="15.75" x14ac:dyDescent="0.25">
      <c r="B42" s="47">
        <f t="shared" si="7"/>
        <v>42860</v>
      </c>
      <c r="C42" s="161">
        <v>403905</v>
      </c>
      <c r="D42" s="48"/>
      <c r="E42" s="47">
        <f t="shared" si="8"/>
        <v>43225</v>
      </c>
      <c r="F42" s="161">
        <v>280359</v>
      </c>
      <c r="G42" s="49"/>
      <c r="H42" s="50">
        <f t="shared" si="6"/>
        <v>123546</v>
      </c>
    </row>
    <row r="43" spans="2:10" ht="15.75" x14ac:dyDescent="0.25">
      <c r="B43" s="47">
        <f t="shared" si="7"/>
        <v>42891</v>
      </c>
      <c r="C43" s="161">
        <v>504875</v>
      </c>
      <c r="D43" s="48"/>
      <c r="E43" s="47">
        <f t="shared" si="8"/>
        <v>43256</v>
      </c>
      <c r="F43" s="161">
        <v>353097</v>
      </c>
      <c r="G43" s="49"/>
      <c r="H43" s="50">
        <f t="shared" si="6"/>
        <v>151778</v>
      </c>
    </row>
    <row r="44" spans="2:10" ht="15.75" x14ac:dyDescent="0.25">
      <c r="B44" s="47">
        <f t="shared" si="7"/>
        <v>42922</v>
      </c>
      <c r="C44" s="161">
        <v>436332</v>
      </c>
      <c r="D44" s="48"/>
      <c r="E44" s="47">
        <f t="shared" si="8"/>
        <v>43287</v>
      </c>
      <c r="F44" s="161">
        <v>302734</v>
      </c>
      <c r="G44" s="49"/>
      <c r="H44" s="50">
        <f t="shared" si="6"/>
        <v>133598</v>
      </c>
    </row>
    <row r="45" spans="2:10" ht="15.75" x14ac:dyDescent="0.25">
      <c r="B45" s="47">
        <f t="shared" si="7"/>
        <v>42953</v>
      </c>
      <c r="C45" s="161">
        <v>431754</v>
      </c>
      <c r="D45" s="48"/>
      <c r="E45" s="47">
        <f t="shared" si="8"/>
        <v>43318</v>
      </c>
      <c r="F45" s="161">
        <v>302079</v>
      </c>
      <c r="G45" s="49"/>
      <c r="H45" s="50">
        <f t="shared" si="6"/>
        <v>129675</v>
      </c>
    </row>
    <row r="46" spans="2:10" ht="15.75" x14ac:dyDescent="0.25">
      <c r="B46" s="47">
        <f t="shared" si="7"/>
        <v>42984</v>
      </c>
      <c r="C46" s="161">
        <v>496639</v>
      </c>
      <c r="D46" s="48"/>
      <c r="E46" s="47">
        <f t="shared" si="8"/>
        <v>43349</v>
      </c>
      <c r="F46" s="161">
        <v>348883</v>
      </c>
      <c r="G46" s="49"/>
      <c r="H46" s="50">
        <f t="shared" si="6"/>
        <v>147756</v>
      </c>
    </row>
    <row r="47" spans="2:10" ht="15.75" x14ac:dyDescent="0.25">
      <c r="B47" s="47">
        <f t="shared" si="7"/>
        <v>43015</v>
      </c>
      <c r="C47" s="161">
        <v>415249</v>
      </c>
      <c r="D47" s="48"/>
      <c r="E47" s="47">
        <f t="shared" si="8"/>
        <v>43380</v>
      </c>
      <c r="F47" s="161">
        <v>283161</v>
      </c>
      <c r="G47" s="49"/>
      <c r="H47" s="50">
        <f t="shared" si="6"/>
        <v>132088</v>
      </c>
    </row>
    <row r="48" spans="2:10" ht="15.75" x14ac:dyDescent="0.25">
      <c r="B48" s="47">
        <f t="shared" si="7"/>
        <v>43046</v>
      </c>
      <c r="C48" s="161">
        <v>410335</v>
      </c>
      <c r="D48" s="48"/>
      <c r="E48" s="47">
        <f t="shared" si="8"/>
        <v>43411</v>
      </c>
      <c r="F48" s="161">
        <v>277887</v>
      </c>
      <c r="G48" s="49"/>
      <c r="H48" s="50">
        <f t="shared" si="6"/>
        <v>132448</v>
      </c>
    </row>
    <row r="49" spans="2:8" ht="15.75" x14ac:dyDescent="0.25">
      <c r="B49" s="47">
        <f t="shared" si="7"/>
        <v>43077</v>
      </c>
      <c r="C49" s="161">
        <v>504356</v>
      </c>
      <c r="D49" s="48"/>
      <c r="E49" s="47">
        <f t="shared" si="8"/>
        <v>43442</v>
      </c>
      <c r="F49" s="161">
        <v>365506</v>
      </c>
      <c r="G49" s="49"/>
      <c r="H49" s="50">
        <f t="shared" si="6"/>
        <v>138850</v>
      </c>
    </row>
    <row r="51" spans="2:8" ht="18.75" customHeight="1" x14ac:dyDescent="0.25">
      <c r="B51" s="291" t="s">
        <v>204</v>
      </c>
      <c r="C51" s="292"/>
      <c r="D51" s="292"/>
      <c r="E51" s="292"/>
      <c r="F51" s="292"/>
      <c r="G51" s="292"/>
      <c r="H51" s="293"/>
    </row>
    <row r="52" spans="2:8" ht="15.75" x14ac:dyDescent="0.25">
      <c r="B52" s="45" t="s">
        <v>183</v>
      </c>
      <c r="C52" s="45" t="s">
        <v>184</v>
      </c>
      <c r="D52" s="46"/>
      <c r="E52" s="45" t="s">
        <v>185</v>
      </c>
      <c r="F52" s="45" t="s">
        <v>186</v>
      </c>
      <c r="G52" s="46"/>
      <c r="H52" s="45" t="s">
        <v>187</v>
      </c>
    </row>
    <row r="53" spans="2:8" ht="15.75" x14ac:dyDescent="0.25">
      <c r="B53" s="47">
        <f>+B38</f>
        <v>42736</v>
      </c>
      <c r="C53" s="161">
        <v>27257</v>
      </c>
      <c r="D53" s="48"/>
      <c r="E53" s="47">
        <f>+E38</f>
        <v>43101</v>
      </c>
      <c r="F53" s="161">
        <v>8106</v>
      </c>
      <c r="G53" s="49"/>
      <c r="H53" s="50">
        <f t="shared" ref="H53:H64" si="9">IF(C53-F53&lt;=0,"",C53-F53)</f>
        <v>19151</v>
      </c>
    </row>
    <row r="54" spans="2:8" ht="15.75" x14ac:dyDescent="0.25">
      <c r="B54" s="47">
        <f t="shared" ref="B54:B64" si="10">+B39</f>
        <v>42767</v>
      </c>
      <c r="C54" s="161">
        <v>23918</v>
      </c>
      <c r="D54" s="48"/>
      <c r="E54" s="47">
        <f t="shared" ref="E54:E64" si="11">+E39</f>
        <v>43132</v>
      </c>
      <c r="F54" s="161">
        <v>5554</v>
      </c>
      <c r="G54" s="49"/>
      <c r="H54" s="50">
        <f t="shared" si="9"/>
        <v>18364</v>
      </c>
    </row>
    <row r="55" spans="2:8" ht="15.75" x14ac:dyDescent="0.25">
      <c r="B55" s="47">
        <f t="shared" si="10"/>
        <v>42798</v>
      </c>
      <c r="C55" s="161">
        <v>21530</v>
      </c>
      <c r="D55" s="48"/>
      <c r="E55" s="47">
        <f t="shared" si="11"/>
        <v>43163</v>
      </c>
      <c r="F55" s="161">
        <v>5162</v>
      </c>
      <c r="G55" s="49"/>
      <c r="H55" s="50">
        <f t="shared" si="9"/>
        <v>16368</v>
      </c>
    </row>
    <row r="56" spans="2:8" ht="15.75" x14ac:dyDescent="0.25">
      <c r="B56" s="47">
        <f t="shared" si="10"/>
        <v>42829</v>
      </c>
      <c r="C56" s="161">
        <v>23456</v>
      </c>
      <c r="D56" s="48"/>
      <c r="E56" s="47">
        <f t="shared" si="11"/>
        <v>43194</v>
      </c>
      <c r="F56" s="161">
        <v>5906</v>
      </c>
      <c r="G56" s="49"/>
      <c r="H56" s="50">
        <f t="shared" si="9"/>
        <v>17550</v>
      </c>
    </row>
    <row r="57" spans="2:8" ht="15.75" x14ac:dyDescent="0.25">
      <c r="B57" s="47">
        <f t="shared" si="10"/>
        <v>42860</v>
      </c>
      <c r="C57" s="161">
        <v>21053</v>
      </c>
      <c r="D57" s="48"/>
      <c r="E57" s="47">
        <f t="shared" si="11"/>
        <v>43225</v>
      </c>
      <c r="F57" s="161">
        <v>5610</v>
      </c>
      <c r="G57" s="49"/>
      <c r="H57" s="50">
        <f t="shared" si="9"/>
        <v>15443</v>
      </c>
    </row>
    <row r="58" spans="2:8" ht="15.75" x14ac:dyDescent="0.25">
      <c r="B58" s="47">
        <f t="shared" si="10"/>
        <v>42891</v>
      </c>
      <c r="C58" s="161">
        <v>21542</v>
      </c>
      <c r="D58" s="48"/>
      <c r="E58" s="47">
        <f t="shared" si="11"/>
        <v>43256</v>
      </c>
      <c r="F58" s="161">
        <v>9608</v>
      </c>
      <c r="G58" s="49"/>
      <c r="H58" s="50">
        <f t="shared" si="9"/>
        <v>11934</v>
      </c>
    </row>
    <row r="59" spans="2:8" ht="15.75" x14ac:dyDescent="0.25">
      <c r="B59" s="47">
        <f t="shared" si="10"/>
        <v>42922</v>
      </c>
      <c r="C59" s="161">
        <v>8738</v>
      </c>
      <c r="D59" s="48"/>
      <c r="E59" s="47">
        <f t="shared" si="11"/>
        <v>43287</v>
      </c>
      <c r="F59" s="161">
        <v>4511</v>
      </c>
      <c r="G59" s="49"/>
      <c r="H59" s="50">
        <f t="shared" si="9"/>
        <v>4227</v>
      </c>
    </row>
    <row r="60" spans="2:8" ht="15.75" x14ac:dyDescent="0.25">
      <c r="B60" s="47">
        <f t="shared" si="10"/>
        <v>42953</v>
      </c>
      <c r="C60" s="161">
        <v>9149</v>
      </c>
      <c r="D60" s="48"/>
      <c r="E60" s="47">
        <f t="shared" si="11"/>
        <v>43318</v>
      </c>
      <c r="F60" s="161">
        <v>5962</v>
      </c>
      <c r="G60" s="49"/>
      <c r="H60" s="50">
        <f t="shared" si="9"/>
        <v>3187</v>
      </c>
    </row>
    <row r="61" spans="2:8" ht="15.75" x14ac:dyDescent="0.25">
      <c r="B61" s="47">
        <f t="shared" si="10"/>
        <v>42984</v>
      </c>
      <c r="C61" s="161">
        <v>9343</v>
      </c>
      <c r="D61" s="48"/>
      <c r="E61" s="47">
        <f t="shared" si="11"/>
        <v>43349</v>
      </c>
      <c r="F61" s="161">
        <v>5987</v>
      </c>
      <c r="G61" s="49"/>
      <c r="H61" s="50">
        <f t="shared" si="9"/>
        <v>3356</v>
      </c>
    </row>
    <row r="62" spans="2:8" ht="15.75" x14ac:dyDescent="0.25">
      <c r="B62" s="47">
        <f t="shared" si="10"/>
        <v>43015</v>
      </c>
      <c r="C62" s="161">
        <v>13574</v>
      </c>
      <c r="D62" s="48"/>
      <c r="E62" s="47">
        <f t="shared" si="11"/>
        <v>43380</v>
      </c>
      <c r="F62" s="161">
        <v>9551</v>
      </c>
      <c r="G62" s="49"/>
      <c r="H62" s="50">
        <f t="shared" si="9"/>
        <v>4023</v>
      </c>
    </row>
    <row r="63" spans="2:8" ht="15.75" x14ac:dyDescent="0.25">
      <c r="B63" s="47">
        <f t="shared" si="10"/>
        <v>43046</v>
      </c>
      <c r="C63" s="161">
        <v>10260</v>
      </c>
      <c r="D63" s="48"/>
      <c r="E63" s="47">
        <f t="shared" si="11"/>
        <v>43411</v>
      </c>
      <c r="F63" s="161">
        <v>6342</v>
      </c>
      <c r="G63" s="49"/>
      <c r="H63" s="50">
        <f t="shared" si="9"/>
        <v>3918</v>
      </c>
    </row>
    <row r="64" spans="2:8" ht="15.75" x14ac:dyDescent="0.25">
      <c r="B64" s="47">
        <f t="shared" si="10"/>
        <v>43077</v>
      </c>
      <c r="C64" s="161">
        <v>8912</v>
      </c>
      <c r="D64" s="48"/>
      <c r="E64" s="47">
        <f t="shared" si="11"/>
        <v>43442</v>
      </c>
      <c r="F64" s="161">
        <v>5423</v>
      </c>
      <c r="G64" s="49"/>
      <c r="H64" s="50">
        <f t="shared" si="9"/>
        <v>3489</v>
      </c>
    </row>
    <row r="65" spans="2:2" x14ac:dyDescent="0.25">
      <c r="B65" s="7" t="s">
        <v>202</v>
      </c>
    </row>
    <row r="76" spans="2:2" ht="20.25" customHeight="1" x14ac:dyDescent="0.25"/>
  </sheetData>
  <mergeCells count="6">
    <mergeCell ref="B51:H51"/>
    <mergeCell ref="J6:N6"/>
    <mergeCell ref="B36:H36"/>
    <mergeCell ref="E3:K3"/>
    <mergeCell ref="B6:H6"/>
    <mergeCell ref="B21:H2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>
    <tabColor rgb="FF002060"/>
  </sheetPr>
  <dimension ref="A1:M30"/>
  <sheetViews>
    <sheetView showGridLines="0" zoomScale="80" zoomScaleNormal="80" workbookViewId="0">
      <selection activeCell="B1" sqref="B1"/>
    </sheetView>
  </sheetViews>
  <sheetFormatPr defaultRowHeight="15" x14ac:dyDescent="0.25"/>
  <cols>
    <col min="1" max="1" width="4.7109375" style="77" customWidth="1"/>
    <col min="2" max="2" width="52.5703125" style="77" customWidth="1"/>
    <col min="3" max="3" width="28.5703125" style="77" customWidth="1"/>
    <col min="4" max="4" width="13.5703125" style="77" customWidth="1"/>
    <col min="5" max="5" width="20.140625" style="77" customWidth="1"/>
    <col min="6" max="6" width="39.5703125" style="77" customWidth="1"/>
    <col min="7" max="7" width="12" style="77" bestFit="1" customWidth="1"/>
    <col min="8" max="8" width="18.7109375" bestFit="1" customWidth="1"/>
    <col min="10" max="10" width="17.42578125" bestFit="1" customWidth="1"/>
    <col min="13" max="13" width="13.140625" bestFit="1" customWidth="1"/>
  </cols>
  <sheetData>
    <row r="1" spans="2:13" s="77" customFormat="1" ht="14.25" x14ac:dyDescent="0.25"/>
    <row r="2" spans="2:13" s="77" customFormat="1" ht="14.25" x14ac:dyDescent="0.25"/>
    <row r="3" spans="2:13" s="77" customFormat="1" ht="18.75" x14ac:dyDescent="0.25">
      <c r="B3" s="265" t="s">
        <v>70</v>
      </c>
      <c r="C3" s="295"/>
    </row>
    <row r="4" spans="2:13" s="77" customFormat="1" ht="28.5" customHeight="1" x14ac:dyDescent="0.25">
      <c r="M4" s="156"/>
    </row>
    <row r="5" spans="2:13" s="77" customFormat="1" ht="18" customHeight="1" x14ac:dyDescent="0.25">
      <c r="B5" s="78" t="s">
        <v>71</v>
      </c>
      <c r="C5" s="79" t="s">
        <v>72</v>
      </c>
    </row>
    <row r="6" spans="2:13" s="77" customFormat="1" ht="18" customHeight="1" x14ac:dyDescent="0.25">
      <c r="B6" s="176" t="s">
        <v>299</v>
      </c>
      <c r="C6" s="177">
        <v>0.01</v>
      </c>
      <c r="M6" s="157"/>
    </row>
    <row r="7" spans="2:13" s="77" customFormat="1" ht="18" customHeight="1" x14ac:dyDescent="0.25">
      <c r="B7" s="176" t="s">
        <v>300</v>
      </c>
      <c r="C7" s="177">
        <v>2.5000000000000001E-2</v>
      </c>
      <c r="M7" s="156"/>
    </row>
    <row r="8" spans="2:13" s="77" customFormat="1" ht="18" customHeight="1" x14ac:dyDescent="0.2">
      <c r="B8" s="82"/>
      <c r="C8" s="82"/>
      <c r="D8" s="80"/>
      <c r="M8" s="157"/>
    </row>
    <row r="9" spans="2:13" s="82" customFormat="1" ht="18" customHeight="1" x14ac:dyDescent="0.25">
      <c r="B9" s="296" t="s">
        <v>73</v>
      </c>
      <c r="C9" s="296"/>
      <c r="D9" s="81"/>
      <c r="I9" s="77"/>
      <c r="J9" s="77"/>
      <c r="K9" s="77"/>
    </row>
    <row r="10" spans="2:13" s="77" customFormat="1" ht="18" customHeight="1" x14ac:dyDescent="0.2">
      <c r="B10" s="178" t="s">
        <v>74</v>
      </c>
      <c r="C10" s="20">
        <f>+Volume_2018!P50</f>
        <v>176539517</v>
      </c>
      <c r="D10" s="205"/>
    </row>
    <row r="11" spans="2:13" s="77" customFormat="1" ht="18" customHeight="1" x14ac:dyDescent="0.2">
      <c r="B11" s="178" t="s">
        <v>75</v>
      </c>
      <c r="C11" s="20">
        <f>+Volume_2018!P81</f>
        <v>148458524.44</v>
      </c>
      <c r="D11" s="80"/>
    </row>
    <row r="12" spans="2:13" s="77" customFormat="1" ht="18" customHeight="1" x14ac:dyDescent="0.2">
      <c r="B12" s="179" t="s">
        <v>76</v>
      </c>
      <c r="C12" s="20">
        <f>SUM(C10:C11)</f>
        <v>324998041.44</v>
      </c>
      <c r="D12" s="80"/>
      <c r="E12" s="155"/>
      <c r="J12" s="155"/>
    </row>
    <row r="13" spans="2:13" s="77" customFormat="1" ht="18" customHeight="1" x14ac:dyDescent="0.2">
      <c r="B13" s="179" t="s">
        <v>77</v>
      </c>
      <c r="C13" s="20">
        <f>'CF 2019'!Z15</f>
        <v>1568873815.1400003</v>
      </c>
      <c r="D13" s="80"/>
    </row>
    <row r="14" spans="2:13" s="82" customFormat="1" ht="18" customHeight="1" x14ac:dyDescent="0.25">
      <c r="B14" s="83" t="s">
        <v>78</v>
      </c>
      <c r="C14" s="84">
        <f>C6*C13</f>
        <v>15688738.151400004</v>
      </c>
      <c r="H14" s="77"/>
      <c r="I14" s="77"/>
      <c r="J14" s="77"/>
      <c r="K14" s="77"/>
      <c r="L14" s="77"/>
      <c r="M14" s="77"/>
    </row>
    <row r="15" spans="2:13" s="82" customFormat="1" ht="18" customHeight="1" x14ac:dyDescent="0.25">
      <c r="B15" s="85"/>
      <c r="C15" s="86"/>
      <c r="F15" s="23"/>
      <c r="H15" s="77"/>
      <c r="I15" s="77"/>
      <c r="J15" s="77"/>
      <c r="K15" s="77"/>
      <c r="L15" s="77"/>
      <c r="M15" s="77"/>
    </row>
    <row r="16" spans="2:13" s="77" customFormat="1" ht="18" customHeight="1" x14ac:dyDescent="0.25">
      <c r="B16" s="296" t="s">
        <v>79</v>
      </c>
      <c r="C16" s="296"/>
      <c r="F16" s="88"/>
      <c r="H16" s="155"/>
    </row>
    <row r="17" spans="2:6" s="77" customFormat="1" ht="18" customHeight="1" x14ac:dyDescent="0.25">
      <c r="B17" s="178" t="s">
        <v>80</v>
      </c>
      <c r="C17" s="20">
        <f>+Volume_2018!P10</f>
        <v>225948606</v>
      </c>
    </row>
    <row r="18" spans="2:6" s="77" customFormat="1" ht="18" customHeight="1" x14ac:dyDescent="0.25">
      <c r="B18" s="178" t="s">
        <v>81</v>
      </c>
      <c r="C18" s="20">
        <f>+Volume_2018!P11</f>
        <v>125199382</v>
      </c>
      <c r="F18" s="156"/>
    </row>
    <row r="19" spans="2:6" s="77" customFormat="1" ht="18" customHeight="1" x14ac:dyDescent="0.25">
      <c r="B19" s="179" t="s">
        <v>82</v>
      </c>
      <c r="C19" s="20">
        <f>SUM(C17:C18)</f>
        <v>351147988</v>
      </c>
    </row>
    <row r="20" spans="2:6" s="77" customFormat="1" ht="18" customHeight="1" x14ac:dyDescent="0.25">
      <c r="B20" s="179" t="s">
        <v>83</v>
      </c>
      <c r="C20" s="20">
        <f>'CF 2019'!Z16</f>
        <v>1694548140.3982303</v>
      </c>
    </row>
    <row r="21" spans="2:6" s="77" customFormat="1" x14ac:dyDescent="0.25">
      <c r="B21" s="83" t="s">
        <v>84</v>
      </c>
      <c r="C21" s="84">
        <f>C7*C20</f>
        <v>42363703.509955764</v>
      </c>
    </row>
    <row r="22" spans="2:6" s="77" customFormat="1" ht="14.25" x14ac:dyDescent="0.25">
      <c r="B22" s="85"/>
      <c r="C22" s="86"/>
    </row>
    <row r="23" spans="2:6" s="77" customFormat="1" ht="16.5" x14ac:dyDescent="0.25">
      <c r="B23" s="83" t="s">
        <v>297</v>
      </c>
      <c r="C23" s="84">
        <f>C14+C21</f>
        <v>58052441.661355764</v>
      </c>
    </row>
    <row r="24" spans="2:6" s="77" customFormat="1" ht="14.25" x14ac:dyDescent="0.25">
      <c r="C24" s="87"/>
    </row>
    <row r="25" spans="2:6" s="77" customFormat="1" ht="14.25" x14ac:dyDescent="0.25">
      <c r="B25" s="297" t="s">
        <v>85</v>
      </c>
      <c r="C25" s="298"/>
    </row>
    <row r="26" spans="2:6" s="77" customFormat="1" ht="15" customHeight="1" x14ac:dyDescent="0.25">
      <c r="B26" s="189" t="s">
        <v>51</v>
      </c>
      <c r="C26" s="190">
        <f>C23/C12</f>
        <v>0.17862397386808007</v>
      </c>
    </row>
    <row r="27" spans="2:6" customFormat="1" ht="63" customHeight="1" x14ac:dyDescent="0.25">
      <c r="B27" s="294"/>
      <c r="C27" s="294"/>
    </row>
    <row r="28" spans="2:6" customFormat="1" x14ac:dyDescent="0.25">
      <c r="B28" s="187"/>
      <c r="C28" s="187"/>
    </row>
    <row r="29" spans="2:6" customFormat="1" x14ac:dyDescent="0.25">
      <c r="B29" s="187"/>
      <c r="C29" s="187"/>
    </row>
    <row r="30" spans="2:6" x14ac:dyDescent="0.25">
      <c r="B30" s="187"/>
    </row>
  </sheetData>
  <mergeCells count="5">
    <mergeCell ref="B27:C27"/>
    <mergeCell ref="B3:C3"/>
    <mergeCell ref="B9:C9"/>
    <mergeCell ref="B16:C16"/>
    <mergeCell ref="B25:C25"/>
  </mergeCells>
  <pageMargins left="0.511811024" right="0.511811024" top="0.78740157499999996" bottom="0.78740157499999996" header="0.31496062000000002" footer="0.31496062000000002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>
    <tabColor rgb="FF002060"/>
  </sheetPr>
  <dimension ref="A1:K35"/>
  <sheetViews>
    <sheetView showGridLines="0" zoomScale="80" zoomScaleNormal="80" workbookViewId="0">
      <selection activeCell="B2" sqref="B2"/>
    </sheetView>
  </sheetViews>
  <sheetFormatPr defaultRowHeight="15" x14ac:dyDescent="0.25"/>
  <cols>
    <col min="1" max="1" width="4.7109375" style="1" customWidth="1"/>
    <col min="2" max="2" width="31.140625" style="1" customWidth="1"/>
    <col min="3" max="3" width="18.7109375" style="1" customWidth="1"/>
    <col min="4" max="4" width="25.140625" style="1" customWidth="1"/>
    <col min="5" max="5" width="23.85546875" style="1" customWidth="1"/>
    <col min="6" max="6" width="16.7109375" style="1" customWidth="1"/>
    <col min="7" max="7" width="19" style="1" bestFit="1" customWidth="1"/>
    <col min="8" max="8" width="58" bestFit="1" customWidth="1"/>
    <col min="9" max="9" width="18.85546875" bestFit="1" customWidth="1"/>
    <col min="10" max="10" width="15.5703125" bestFit="1" customWidth="1"/>
    <col min="11" max="11" width="12.140625" bestFit="1" customWidth="1"/>
    <col min="12" max="14" width="65.140625" customWidth="1"/>
  </cols>
  <sheetData>
    <row r="1" spans="2:7" s="1" customFormat="1" ht="14.25" x14ac:dyDescent="0.2"/>
    <row r="2" spans="2:7" s="1" customFormat="1" ht="14.25" x14ac:dyDescent="0.2"/>
    <row r="3" spans="2:7" s="1" customFormat="1" ht="18" x14ac:dyDescent="0.2">
      <c r="B3" s="269" t="s">
        <v>86</v>
      </c>
      <c r="C3" s="269"/>
      <c r="D3" s="269"/>
      <c r="E3" s="269"/>
      <c r="F3" s="269"/>
      <c r="G3" s="269"/>
    </row>
    <row r="4" spans="2:7" s="1" customFormat="1" ht="14.25" x14ac:dyDescent="0.2"/>
    <row r="5" spans="2:7" s="1" customFormat="1" ht="14.25" x14ac:dyDescent="0.2"/>
    <row r="6" spans="2:7" s="1" customFormat="1" ht="14.25" x14ac:dyDescent="0.2"/>
    <row r="7" spans="2:7" s="1" customFormat="1" ht="17.100000000000001" customHeight="1" x14ac:dyDescent="0.25">
      <c r="B7" s="275" t="s">
        <v>87</v>
      </c>
      <c r="C7" s="276"/>
      <c r="D7" s="276"/>
      <c r="E7" s="276"/>
      <c r="F7" s="276"/>
    </row>
    <row r="8" spans="2:7" s="1" customFormat="1" ht="17.100000000000001" customHeight="1" x14ac:dyDescent="0.2">
      <c r="B8" s="220" t="s">
        <v>88</v>
      </c>
      <c r="C8" s="220" t="s">
        <v>89</v>
      </c>
      <c r="D8" s="2" t="s">
        <v>90</v>
      </c>
      <c r="E8" s="221" t="s">
        <v>91</v>
      </c>
      <c r="F8" s="221" t="s">
        <v>92</v>
      </c>
    </row>
    <row r="9" spans="2:7" s="91" customFormat="1" ht="18" customHeight="1" x14ac:dyDescent="0.25">
      <c r="B9" s="189" t="s">
        <v>93</v>
      </c>
      <c r="C9" s="192">
        <v>522020295.01057279</v>
      </c>
      <c r="D9" s="193">
        <f>C9/$C$14</f>
        <v>0.36068558404402251</v>
      </c>
      <c r="E9" s="194">
        <f>+Indices_2018!$C$22</f>
        <v>3.433724905411939E-2</v>
      </c>
      <c r="F9" s="195">
        <f>D9*E9</f>
        <v>1.2384950729550112E-2</v>
      </c>
    </row>
    <row r="10" spans="2:7" s="91" customFormat="1" ht="18" customHeight="1" x14ac:dyDescent="0.25">
      <c r="B10" s="189" t="s">
        <v>94</v>
      </c>
      <c r="C10" s="192">
        <v>106870256.96647988</v>
      </c>
      <c r="D10" s="193">
        <f t="shared" ref="D10:D13" si="0">C10/$C$14</f>
        <v>7.3841115794375106E-2</v>
      </c>
      <c r="E10" s="194">
        <f>+Indices_2018!J30</f>
        <v>0.12330060945338728</v>
      </c>
      <c r="F10" s="195">
        <f t="shared" ref="F10:F13" si="1">D10*E10</f>
        <v>9.1046545801645919E-3</v>
      </c>
    </row>
    <row r="11" spans="2:7" s="91" customFormat="1" ht="18" customHeight="1" x14ac:dyDescent="0.25">
      <c r="B11" s="189" t="s">
        <v>95</v>
      </c>
      <c r="C11" s="192">
        <v>24364772.166921686</v>
      </c>
      <c r="D11" s="193">
        <f t="shared" si="0"/>
        <v>1.6834636819910809E-2</v>
      </c>
      <c r="E11" s="194">
        <f>+Indices_2018!$E$22</f>
        <v>7.5368734029632511E-2</v>
      </c>
      <c r="F11" s="195">
        <f t="shared" si="1"/>
        <v>1.2688052649653162E-3</v>
      </c>
    </row>
    <row r="12" spans="2:7" s="91" customFormat="1" ht="18" customHeight="1" x14ac:dyDescent="0.25">
      <c r="B12" s="196" t="s">
        <v>96</v>
      </c>
      <c r="C12" s="74">
        <v>650878235.70949697</v>
      </c>
      <c r="D12" s="193">
        <f t="shared" si="0"/>
        <v>0.44971890716177632</v>
      </c>
      <c r="E12" s="194">
        <f>+E11</f>
        <v>7.5368734029632511E-2</v>
      </c>
      <c r="F12" s="195">
        <f t="shared" si="1"/>
        <v>3.3894744701972915E-2</v>
      </c>
    </row>
    <row r="13" spans="2:7" s="91" customFormat="1" ht="18" customHeight="1" x14ac:dyDescent="0.25">
      <c r="B13" s="196" t="s">
        <v>97</v>
      </c>
      <c r="C13" s="192">
        <v>143166576.61901656</v>
      </c>
      <c r="D13" s="193">
        <f t="shared" si="0"/>
        <v>9.8919756179915247E-2</v>
      </c>
      <c r="E13" s="197">
        <f>+Indices_2018!$D$22</f>
        <v>3.7455811701915476E-2</v>
      </c>
      <c r="F13" s="195">
        <f t="shared" si="1"/>
        <v>3.7051197610742954E-3</v>
      </c>
    </row>
    <row r="14" spans="2:7" s="91" customFormat="1" ht="18" customHeight="1" x14ac:dyDescent="0.25">
      <c r="B14" s="196" t="s">
        <v>98</v>
      </c>
      <c r="C14" s="198">
        <f>SUM(C9:C13)</f>
        <v>1447300136.4724879</v>
      </c>
      <c r="D14" s="199">
        <f>SUM(D9:D13)</f>
        <v>1</v>
      </c>
      <c r="E14" s="200"/>
      <c r="F14" s="200">
        <f>SUM(F9:F13)</f>
        <v>6.0358275037727227E-2</v>
      </c>
    </row>
    <row r="15" spans="2:7" s="91" customFormat="1" ht="30" customHeight="1" x14ac:dyDescent="0.25">
      <c r="B15" s="299" t="s">
        <v>99</v>
      </c>
      <c r="C15" s="300"/>
      <c r="D15" s="301"/>
      <c r="E15" s="302"/>
      <c r="F15" s="90">
        <f>SUM(F9:F13)</f>
        <v>6.0358275037727227E-2</v>
      </c>
    </row>
    <row r="16" spans="2:7" s="91" customFormat="1" ht="30" customHeight="1" x14ac:dyDescent="0.2">
      <c r="B16" s="188" t="s">
        <v>100</v>
      </c>
      <c r="C16" s="1"/>
      <c r="D16" s="1"/>
      <c r="E16" s="1"/>
      <c r="F16" s="1"/>
    </row>
    <row r="17" spans="2:3" s="1" customFormat="1" x14ac:dyDescent="0.2">
      <c r="B17" s="303" t="s">
        <v>101</v>
      </c>
      <c r="C17" s="304"/>
    </row>
    <row r="18" spans="2:3" s="91" customFormat="1" ht="17.25" customHeight="1" x14ac:dyDescent="0.25">
      <c r="B18" s="189" t="s">
        <v>102</v>
      </c>
      <c r="C18" s="191">
        <f>+F15</f>
        <v>6.0358275037727227E-2</v>
      </c>
    </row>
    <row r="19" spans="2:3" s="91" customFormat="1" ht="17.25" customHeight="1" x14ac:dyDescent="0.25">
      <c r="B19" s="189" t="s">
        <v>103</v>
      </c>
      <c r="C19" s="191">
        <v>-8.9999999999999998E-4</v>
      </c>
    </row>
    <row r="20" spans="2:3" s="91" customFormat="1" ht="21" customHeight="1" x14ac:dyDescent="0.25">
      <c r="B20" s="222" t="s">
        <v>104</v>
      </c>
      <c r="C20" s="92">
        <f>C18-C19</f>
        <v>6.1258275037727225E-2</v>
      </c>
    </row>
    <row r="21" spans="2:3" s="1" customFormat="1" ht="14.25" x14ac:dyDescent="0.2"/>
    <row r="22" spans="2:3" s="1" customFormat="1" ht="14.25" x14ac:dyDescent="0.2">
      <c r="B22" s="297" t="s">
        <v>105</v>
      </c>
      <c r="C22" s="298"/>
    </row>
    <row r="23" spans="2:3" s="1" customFormat="1" ht="18.75" x14ac:dyDescent="0.2">
      <c r="B23" s="189" t="s">
        <v>43</v>
      </c>
      <c r="C23" s="190">
        <f>+'IRT 2019'!D21</f>
        <v>4.5362431759679263</v>
      </c>
    </row>
    <row r="24" spans="2:3" s="1" customFormat="1" ht="18.75" x14ac:dyDescent="0.2">
      <c r="B24" s="189" t="s">
        <v>57</v>
      </c>
      <c r="C24" s="190">
        <f>C23*(1+C20)</f>
        <v>4.8141256080793831</v>
      </c>
    </row>
    <row r="25" spans="2:3" s="1" customFormat="1" ht="14.25" x14ac:dyDescent="0.2"/>
    <row r="33" spans="8:11" x14ac:dyDescent="0.25">
      <c r="H33" s="75"/>
      <c r="I33" s="75"/>
      <c r="J33" s="75"/>
      <c r="K33" s="75"/>
    </row>
    <row r="34" spans="8:11" x14ac:dyDescent="0.25">
      <c r="H34" s="75"/>
      <c r="K34" s="75"/>
    </row>
    <row r="35" spans="8:11" x14ac:dyDescent="0.25">
      <c r="H35" s="76"/>
      <c r="K35" s="75"/>
    </row>
  </sheetData>
  <mergeCells count="5">
    <mergeCell ref="B3:G3"/>
    <mergeCell ref="B15:E15"/>
    <mergeCell ref="B17:C17"/>
    <mergeCell ref="B22:C22"/>
    <mergeCell ref="B7:F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>
    <tabColor rgb="FF002060"/>
  </sheetPr>
  <dimension ref="B2:Z28"/>
  <sheetViews>
    <sheetView showGridLines="0" zoomScale="90" zoomScaleNormal="90" workbookViewId="0">
      <selection activeCell="E30" sqref="E30"/>
    </sheetView>
  </sheetViews>
  <sheetFormatPr defaultRowHeight="15" x14ac:dyDescent="0.25"/>
  <cols>
    <col min="1" max="1" width="6" customWidth="1"/>
    <col min="2" max="2" width="15.7109375" customWidth="1"/>
    <col min="3" max="3" width="16.140625" customWidth="1"/>
    <col min="4" max="4" width="6.28515625" customWidth="1"/>
    <col min="5" max="5" width="16.85546875" style="114" customWidth="1"/>
    <col min="6" max="9" width="16.85546875" customWidth="1"/>
    <col min="10" max="10" width="15.5703125" customWidth="1"/>
    <col min="12" max="12" width="25" bestFit="1" customWidth="1"/>
    <col min="13" max="13" width="6.42578125" bestFit="1" customWidth="1"/>
    <col min="14" max="27" width="17.5703125" customWidth="1"/>
    <col min="28" max="28" width="13.28515625" bestFit="1" customWidth="1"/>
    <col min="29" max="29" width="14.28515625" bestFit="1" customWidth="1"/>
  </cols>
  <sheetData>
    <row r="2" spans="2:26" ht="18" x14ac:dyDescent="0.25">
      <c r="E2" s="269" t="s">
        <v>301</v>
      </c>
      <c r="F2" s="269"/>
      <c r="G2" s="269"/>
      <c r="H2" s="269"/>
      <c r="I2" s="269"/>
      <c r="J2" s="269"/>
    </row>
    <row r="5" spans="2:26" x14ac:dyDescent="0.25">
      <c r="E5" s="310">
        <v>2018</v>
      </c>
      <c r="F5" s="310"/>
      <c r="G5" s="310"/>
      <c r="H5" s="310"/>
      <c r="I5" s="310"/>
      <c r="J5" s="310"/>
      <c r="L5" s="311" t="s">
        <v>106</v>
      </c>
      <c r="M5" s="312" t="str">
        <f>UPPER("UN")</f>
        <v>UN</v>
      </c>
      <c r="N5" s="306">
        <v>2018</v>
      </c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8"/>
    </row>
    <row r="6" spans="2:26" x14ac:dyDescent="0.25">
      <c r="E6" s="115"/>
      <c r="F6" s="115" t="s">
        <v>107</v>
      </c>
      <c r="G6" s="115" t="s">
        <v>108</v>
      </c>
      <c r="H6" s="115" t="s">
        <v>109</v>
      </c>
      <c r="I6" s="115" t="s">
        <v>110</v>
      </c>
      <c r="J6" s="115" t="s">
        <v>111</v>
      </c>
      <c r="L6" s="311"/>
      <c r="M6" s="312"/>
      <c r="N6" s="129" t="s">
        <v>112</v>
      </c>
      <c r="O6" s="129" t="s">
        <v>113</v>
      </c>
      <c r="P6" s="129" t="s">
        <v>114</v>
      </c>
      <c r="Q6" s="129" t="s">
        <v>115</v>
      </c>
      <c r="R6" s="129" t="s">
        <v>116</v>
      </c>
      <c r="S6" s="129" t="s">
        <v>117</v>
      </c>
      <c r="T6" s="129" t="s">
        <v>118</v>
      </c>
      <c r="U6" s="129" t="s">
        <v>119</v>
      </c>
      <c r="V6" s="129" t="s">
        <v>120</v>
      </c>
      <c r="W6" s="129" t="s">
        <v>121</v>
      </c>
      <c r="X6" s="129" t="s">
        <v>122</v>
      </c>
      <c r="Y6" s="129" t="s">
        <v>123</v>
      </c>
      <c r="Z6" s="129" t="s">
        <v>124</v>
      </c>
    </row>
    <row r="7" spans="2:26" ht="15.75" x14ac:dyDescent="0.25">
      <c r="E7" s="116" t="s">
        <v>125</v>
      </c>
      <c r="F7" s="117">
        <f>+N$19</f>
        <v>4541715.0221992955</v>
      </c>
      <c r="G7" s="117">
        <f>$C$16*H7</f>
        <v>4592309.4223830001</v>
      </c>
      <c r="H7" s="248">
        <f>Volume_2018!D$112</f>
        <v>25756082.010000002</v>
      </c>
      <c r="I7" s="143">
        <f>+Indices_2018!D10</f>
        <v>4930.72</v>
      </c>
      <c r="J7" s="117">
        <f>(F7-G7)*$I$18/I7</f>
        <v>-52337.651199217544</v>
      </c>
      <c r="L7" s="118" t="s">
        <v>126</v>
      </c>
      <c r="M7" s="124" t="s">
        <v>127</v>
      </c>
      <c r="N7" s="242">
        <v>120093968.19</v>
      </c>
      <c r="O7" s="175">
        <v>120567300.09999999</v>
      </c>
      <c r="P7" s="175">
        <v>121373280.04000001</v>
      </c>
      <c r="Q7" s="175">
        <v>125090244.86</v>
      </c>
      <c r="R7" s="175">
        <v>126236716.49000001</v>
      </c>
      <c r="S7" s="175">
        <v>129635048.7</v>
      </c>
      <c r="T7" s="175">
        <v>137432152.81999999</v>
      </c>
      <c r="U7" s="175">
        <v>132748687.23999999</v>
      </c>
      <c r="V7" s="175">
        <v>141283763.44999999</v>
      </c>
      <c r="W7" s="175">
        <v>147222448.22</v>
      </c>
      <c r="X7" s="175">
        <v>137128848.86000001</v>
      </c>
      <c r="Y7" s="175">
        <v>130061356.17</v>
      </c>
      <c r="Z7" s="144">
        <f>SUM(N7:Y7)</f>
        <v>1568873815.1400003</v>
      </c>
    </row>
    <row r="8" spans="2:26" x14ac:dyDescent="0.25">
      <c r="E8" s="116" t="s">
        <v>128</v>
      </c>
      <c r="F8" s="117">
        <f>O$19</f>
        <v>4256011.4998601042</v>
      </c>
      <c r="G8" s="117">
        <f t="shared" ref="G8:G18" si="0">$C$16*H8</f>
        <v>4624657.6924470002</v>
      </c>
      <c r="H8" s="248">
        <f>Volume_2018!E$112</f>
        <v>25937508.090000004</v>
      </c>
      <c r="I8" s="143">
        <f>+Indices_2018!D11</f>
        <v>4946.5</v>
      </c>
      <c r="J8" s="117">
        <f t="shared" ref="J8:J18" si="1">(F8-G8)*$I$18/I8</f>
        <v>-380131.49830600375</v>
      </c>
      <c r="L8" s="130" t="s">
        <v>129</v>
      </c>
      <c r="M8" s="120" t="s">
        <v>130</v>
      </c>
      <c r="N8" s="174">
        <v>18029643</v>
      </c>
      <c r="O8" s="174">
        <v>16518411</v>
      </c>
      <c r="P8" s="174">
        <v>18735949</v>
      </c>
      <c r="Q8" s="174">
        <v>17580126</v>
      </c>
      <c r="R8" s="174">
        <v>18623995</v>
      </c>
      <c r="S8" s="174">
        <v>18438986</v>
      </c>
      <c r="T8" s="174">
        <v>19391058</v>
      </c>
      <c r="U8" s="174">
        <v>19923237</v>
      </c>
      <c r="V8" s="174">
        <v>19885356</v>
      </c>
      <c r="W8" s="174">
        <v>20048696</v>
      </c>
      <c r="X8" s="174">
        <v>18731644</v>
      </c>
      <c r="Y8" s="174">
        <v>20041505</v>
      </c>
      <c r="Z8" s="145">
        <f t="shared" ref="Z8:Z18" si="2">SUM(N8:Y8)</f>
        <v>225948606</v>
      </c>
    </row>
    <row r="9" spans="2:26" x14ac:dyDescent="0.25">
      <c r="B9" s="310">
        <v>2018</v>
      </c>
      <c r="C9" s="310"/>
      <c r="E9" s="116" t="s">
        <v>131</v>
      </c>
      <c r="F9" s="117">
        <f>+P$19</f>
        <v>4668290.4864027221</v>
      </c>
      <c r="G9" s="117">
        <f t="shared" si="0"/>
        <v>4668492.3088290002</v>
      </c>
      <c r="H9" s="248">
        <f>Volume_2018!F$112</f>
        <v>26183355.630000003</v>
      </c>
      <c r="I9" s="143">
        <f>+Indices_2018!D12</f>
        <v>4950.95</v>
      </c>
      <c r="J9" s="117">
        <f t="shared" si="1"/>
        <v>-207.92322396682752</v>
      </c>
      <c r="L9" s="130" t="s">
        <v>132</v>
      </c>
      <c r="M9" s="120" t="s">
        <v>130</v>
      </c>
      <c r="N9" s="174">
        <v>10629676</v>
      </c>
      <c r="O9" s="174">
        <v>9729638</v>
      </c>
      <c r="P9" s="174">
        <v>11073549</v>
      </c>
      <c r="Q9" s="174">
        <v>10627415</v>
      </c>
      <c r="R9" s="174">
        <v>10268811</v>
      </c>
      <c r="S9" s="174">
        <v>9741376</v>
      </c>
      <c r="T9" s="174">
        <v>9818699</v>
      </c>
      <c r="U9" s="174">
        <v>10308812</v>
      </c>
      <c r="V9" s="174">
        <v>10001372</v>
      </c>
      <c r="W9" s="174">
        <v>10618803</v>
      </c>
      <c r="X9" s="174">
        <v>11101609</v>
      </c>
      <c r="Y9" s="174">
        <v>11279622</v>
      </c>
      <c r="Z9" s="145">
        <f t="shared" si="2"/>
        <v>125199382</v>
      </c>
    </row>
    <row r="10" spans="2:26" ht="18" x14ac:dyDescent="0.35">
      <c r="B10" s="115" t="s">
        <v>139</v>
      </c>
      <c r="C10" s="121">
        <f>C11/C12</f>
        <v>2.09273092754147E-2</v>
      </c>
      <c r="E10" s="116" t="s">
        <v>133</v>
      </c>
      <c r="F10" s="117">
        <f>+Q$19</f>
        <v>4613963.8225625511</v>
      </c>
      <c r="G10" s="117">
        <f t="shared" si="0"/>
        <v>4676761.4848329984</v>
      </c>
      <c r="H10" s="248">
        <f>Volume_2018!G$112</f>
        <v>26229733.509999994</v>
      </c>
      <c r="I10" s="143">
        <f>+Indices_2018!D13</f>
        <v>4961.84</v>
      </c>
      <c r="J10" s="117">
        <f t="shared" si="1"/>
        <v>-64553.952596872507</v>
      </c>
      <c r="L10" s="130" t="s">
        <v>134</v>
      </c>
      <c r="M10" s="120" t="s">
        <v>130</v>
      </c>
      <c r="N10" s="145">
        <f>SUM(N8:N9)</f>
        <v>28659319</v>
      </c>
      <c r="O10" s="145">
        <f t="shared" ref="O10:Z10" si="3">SUM(O8:O9)</f>
        <v>26248049</v>
      </c>
      <c r="P10" s="145">
        <f t="shared" si="3"/>
        <v>29809498</v>
      </c>
      <c r="Q10" s="145">
        <f t="shared" si="3"/>
        <v>28207541</v>
      </c>
      <c r="R10" s="145">
        <f t="shared" si="3"/>
        <v>28892806</v>
      </c>
      <c r="S10" s="145">
        <f t="shared" si="3"/>
        <v>28180362</v>
      </c>
      <c r="T10" s="145">
        <f t="shared" si="3"/>
        <v>29209757</v>
      </c>
      <c r="U10" s="145">
        <f t="shared" si="3"/>
        <v>30232049</v>
      </c>
      <c r="V10" s="145">
        <f t="shared" si="3"/>
        <v>29886728</v>
      </c>
      <c r="W10" s="145">
        <f t="shared" si="3"/>
        <v>30667499</v>
      </c>
      <c r="X10" s="145">
        <f t="shared" si="3"/>
        <v>29833253</v>
      </c>
      <c r="Y10" s="145">
        <f t="shared" si="3"/>
        <v>31321127</v>
      </c>
      <c r="Z10" s="145">
        <f t="shared" si="3"/>
        <v>351147988</v>
      </c>
    </row>
    <row r="11" spans="2:26" x14ac:dyDescent="0.25">
      <c r="B11" s="224" t="s">
        <v>111</v>
      </c>
      <c r="C11" s="122">
        <f>+J19+'CF - Outros 2019'!D31</f>
        <v>6801334.5271189231</v>
      </c>
      <c r="E11" s="116" t="s">
        <v>135</v>
      </c>
      <c r="F11" s="117">
        <f>+R$19</f>
        <v>4697449.026929955</v>
      </c>
      <c r="G11" s="117">
        <f t="shared" si="0"/>
        <v>4732925.5747429989</v>
      </c>
      <c r="H11" s="248">
        <f>Volume_2018!H$112</f>
        <v>26544731.209999997</v>
      </c>
      <c r="I11" s="143">
        <f>+Indices_2018!D14</f>
        <v>4981.6899999999996</v>
      </c>
      <c r="J11" s="117">
        <f t="shared" si="1"/>
        <v>-36323.423284204757</v>
      </c>
      <c r="L11" s="131" t="s">
        <v>136</v>
      </c>
      <c r="M11" s="116" t="s">
        <v>130</v>
      </c>
      <c r="N11" s="174">
        <v>13998306</v>
      </c>
      <c r="O11" s="174">
        <v>14094947</v>
      </c>
      <c r="P11" s="174">
        <v>14215788</v>
      </c>
      <c r="Q11" s="174">
        <v>14217961</v>
      </c>
      <c r="R11" s="174">
        <v>14418926</v>
      </c>
      <c r="S11" s="174">
        <v>14648526</v>
      </c>
      <c r="T11" s="174">
        <v>15013347</v>
      </c>
      <c r="U11" s="174">
        <v>14993027</v>
      </c>
      <c r="V11" s="174">
        <v>15488836</v>
      </c>
      <c r="W11" s="174">
        <v>15685513</v>
      </c>
      <c r="X11" s="174">
        <v>15047668</v>
      </c>
      <c r="Y11" s="174">
        <v>14716092</v>
      </c>
      <c r="Z11" s="145">
        <f t="shared" si="2"/>
        <v>176538937</v>
      </c>
    </row>
    <row r="12" spans="2:26" x14ac:dyDescent="0.25">
      <c r="B12" s="224" t="s">
        <v>109</v>
      </c>
      <c r="C12" s="247">
        <f>+H19</f>
        <v>324998041.44</v>
      </c>
      <c r="E12" s="116" t="s">
        <v>137</v>
      </c>
      <c r="F12" s="117">
        <f>+S$19</f>
        <v>4686586.078168992</v>
      </c>
      <c r="G12" s="117">
        <f t="shared" si="0"/>
        <v>4803197.8982070005</v>
      </c>
      <c r="H12" s="248">
        <f>Volume_2018!I$112</f>
        <v>26938855.290000003</v>
      </c>
      <c r="I12" s="143">
        <f>+Indices_2018!D15</f>
        <v>5044.46</v>
      </c>
      <c r="J12" s="117">
        <f t="shared" si="1"/>
        <v>-117909.82888239108</v>
      </c>
      <c r="L12" s="131" t="s">
        <v>138</v>
      </c>
      <c r="M12" s="116" t="s">
        <v>130</v>
      </c>
      <c r="N12" s="174">
        <v>11757776</v>
      </c>
      <c r="O12" s="174">
        <v>11841981</v>
      </c>
      <c r="P12" s="174">
        <v>11967568</v>
      </c>
      <c r="Q12" s="174">
        <v>12011773</v>
      </c>
      <c r="R12" s="174">
        <v>12125805</v>
      </c>
      <c r="S12" s="174">
        <v>12290329</v>
      </c>
      <c r="T12" s="174">
        <v>12551562</v>
      </c>
      <c r="U12" s="174">
        <v>12531085</v>
      </c>
      <c r="V12" s="174">
        <v>12974187</v>
      </c>
      <c r="W12" s="174">
        <v>13186803</v>
      </c>
      <c r="X12" s="174">
        <v>12753733</v>
      </c>
      <c r="Y12" s="174">
        <v>12465924</v>
      </c>
      <c r="Z12" s="145">
        <f t="shared" si="2"/>
        <v>148458526</v>
      </c>
    </row>
    <row r="13" spans="2:26" ht="18" x14ac:dyDescent="0.35">
      <c r="B13" s="224" t="s">
        <v>147</v>
      </c>
      <c r="C13" s="246">
        <f>'IRT 2019'!D19</f>
        <v>0.17197903529287317</v>
      </c>
      <c r="E13" s="116" t="s">
        <v>140</v>
      </c>
      <c r="F13" s="117">
        <f>+T$19</f>
        <v>5015145.979914194</v>
      </c>
      <c r="G13" s="117">
        <f t="shared" si="0"/>
        <v>4914823.2372570001</v>
      </c>
      <c r="H13" s="248">
        <f>Volume_2018!J$112</f>
        <v>27564908.790000003</v>
      </c>
      <c r="I13" s="143">
        <f>+Indices_2018!D16</f>
        <v>5061.1099999999997</v>
      </c>
      <c r="J13" s="117">
        <f t="shared" si="1"/>
        <v>101105.7227415942</v>
      </c>
      <c r="L13" s="131" t="s">
        <v>141</v>
      </c>
      <c r="M13" s="120" t="s">
        <v>130</v>
      </c>
      <c r="N13" s="145">
        <f>SUM(N11:N12)</f>
        <v>25756082</v>
      </c>
      <c r="O13" s="145">
        <f>SUM(O11:O12)</f>
        <v>25936928</v>
      </c>
      <c r="P13" s="145">
        <f t="shared" ref="P13:Z13" si="4">P11+P12</f>
        <v>26183356</v>
      </c>
      <c r="Q13" s="145">
        <f t="shared" si="4"/>
        <v>26229734</v>
      </c>
      <c r="R13" s="145">
        <f t="shared" si="4"/>
        <v>26544731</v>
      </c>
      <c r="S13" s="145">
        <f t="shared" si="4"/>
        <v>26938855</v>
      </c>
      <c r="T13" s="145">
        <f t="shared" si="4"/>
        <v>27564909</v>
      </c>
      <c r="U13" s="145">
        <f t="shared" si="4"/>
        <v>27524112</v>
      </c>
      <c r="V13" s="145">
        <f t="shared" si="4"/>
        <v>28463023</v>
      </c>
      <c r="W13" s="145">
        <f t="shared" si="4"/>
        <v>28872316</v>
      </c>
      <c r="X13" s="145">
        <f t="shared" si="4"/>
        <v>27801401</v>
      </c>
      <c r="Y13" s="145">
        <f t="shared" si="4"/>
        <v>27182016</v>
      </c>
      <c r="Z13" s="145">
        <f t="shared" si="4"/>
        <v>324997463</v>
      </c>
    </row>
    <row r="14" spans="2:26" x14ac:dyDescent="0.25">
      <c r="E14" s="116" t="s">
        <v>142</v>
      </c>
      <c r="F14" s="117">
        <f>U$19</f>
        <v>4972713.2990739597</v>
      </c>
      <c r="G14" s="117">
        <f t="shared" si="0"/>
        <v>4907549.1036289996</v>
      </c>
      <c r="H14" s="248">
        <f>Volume_2018!K$112</f>
        <v>27524111.629999999</v>
      </c>
      <c r="I14" s="143">
        <f>+Indices_2018!D17</f>
        <v>5056.5600000000004</v>
      </c>
      <c r="J14" s="117">
        <f t="shared" si="1"/>
        <v>65731.870466981141</v>
      </c>
      <c r="L14" s="123" t="s">
        <v>143</v>
      </c>
      <c r="M14" s="125" t="s">
        <v>144</v>
      </c>
      <c r="N14" s="146">
        <f t="shared" ref="N14:Z14" si="5">N7/N13</f>
        <v>4.6627421123290409</v>
      </c>
      <c r="O14" s="146">
        <f t="shared" si="5"/>
        <v>4.6484803481738464</v>
      </c>
      <c r="P14" s="146">
        <f t="shared" si="5"/>
        <v>4.6355127295370391</v>
      </c>
      <c r="Q14" s="146">
        <f t="shared" si="5"/>
        <v>4.7690245299475782</v>
      </c>
      <c r="R14" s="146">
        <f t="shared" si="5"/>
        <v>4.7556223677685789</v>
      </c>
      <c r="S14" s="146">
        <f t="shared" si="5"/>
        <v>4.8121959415127336</v>
      </c>
      <c r="T14" s="146">
        <f t="shared" si="5"/>
        <v>4.9857647932013851</v>
      </c>
      <c r="U14" s="146">
        <f t="shared" si="5"/>
        <v>4.8229961874882648</v>
      </c>
      <c r="V14" s="146">
        <f t="shared" si="5"/>
        <v>4.9637652139057744</v>
      </c>
      <c r="W14" s="146">
        <f t="shared" si="5"/>
        <v>5.0990868976357833</v>
      </c>
      <c r="X14" s="146">
        <f t="shared" si="5"/>
        <v>4.9324438311580057</v>
      </c>
      <c r="Y14" s="146">
        <f t="shared" si="5"/>
        <v>4.7848311240049304</v>
      </c>
      <c r="Z14" s="146">
        <f t="shared" si="5"/>
        <v>4.8273417295568253</v>
      </c>
    </row>
    <row r="15" spans="2:26" x14ac:dyDescent="0.25">
      <c r="B15" s="310">
        <v>2017</v>
      </c>
      <c r="C15" s="310"/>
      <c r="E15" s="116" t="s">
        <v>145</v>
      </c>
      <c r="F15" s="117">
        <f>V$19</f>
        <v>5121605.1545965923</v>
      </c>
      <c r="G15" s="117">
        <f t="shared" si="0"/>
        <v>5074957.0294279987</v>
      </c>
      <c r="H15" s="248">
        <f>Volume_2018!L$112</f>
        <v>28463023.159999996</v>
      </c>
      <c r="I15" s="143">
        <f>+Indices_2018!D18</f>
        <v>5080.83</v>
      </c>
      <c r="J15" s="117">
        <f t="shared" si="1"/>
        <v>46829.72933874587</v>
      </c>
      <c r="L15" s="132" t="s">
        <v>146</v>
      </c>
      <c r="M15" s="119" t="s">
        <v>127</v>
      </c>
      <c r="N15" s="147">
        <f>N7</f>
        <v>120093968.19</v>
      </c>
      <c r="O15" s="147">
        <f t="shared" ref="O15:X15" si="6">O7</f>
        <v>120567300.09999999</v>
      </c>
      <c r="P15" s="147">
        <f t="shared" si="6"/>
        <v>121373280.04000001</v>
      </c>
      <c r="Q15" s="147">
        <f t="shared" si="6"/>
        <v>125090244.86</v>
      </c>
      <c r="R15" s="147">
        <f t="shared" si="6"/>
        <v>126236716.49000001</v>
      </c>
      <c r="S15" s="147">
        <f t="shared" si="6"/>
        <v>129635048.7</v>
      </c>
      <c r="T15" s="147">
        <f t="shared" si="6"/>
        <v>137432152.81999999</v>
      </c>
      <c r="U15" s="147">
        <f t="shared" si="6"/>
        <v>132748687.23999999</v>
      </c>
      <c r="V15" s="147">
        <f t="shared" si="6"/>
        <v>141283763.44999999</v>
      </c>
      <c r="W15" s="147">
        <f t="shared" si="6"/>
        <v>147222448.22</v>
      </c>
      <c r="X15" s="147">
        <f t="shared" si="6"/>
        <v>137128848.86000001</v>
      </c>
      <c r="Y15" s="147">
        <f>Y7</f>
        <v>130061356.17</v>
      </c>
      <c r="Z15" s="147">
        <f t="shared" si="2"/>
        <v>1568873815.1400003</v>
      </c>
    </row>
    <row r="16" spans="2:26" ht="18" x14ac:dyDescent="0.35">
      <c r="B16" s="224" t="s">
        <v>147</v>
      </c>
      <c r="C16" s="153">
        <v>0.17829999999999999</v>
      </c>
      <c r="E16" s="116" t="s">
        <v>148</v>
      </c>
      <c r="F16" s="117">
        <f>W$19</f>
        <v>5381630.5405539628</v>
      </c>
      <c r="G16" s="117">
        <f t="shared" si="0"/>
        <v>5147933.8554330003</v>
      </c>
      <c r="H16" s="248">
        <f>Volume_2018!M$112</f>
        <v>28872315.510000002</v>
      </c>
      <c r="I16" s="143">
        <f>+Indices_2018!D19</f>
        <v>5103.6899999999996</v>
      </c>
      <c r="J16" s="117">
        <f t="shared" si="1"/>
        <v>233555.65269341061</v>
      </c>
      <c r="L16" s="132" t="s">
        <v>149</v>
      </c>
      <c r="M16" s="119" t="s">
        <v>127</v>
      </c>
      <c r="N16" s="147">
        <f>N10*N14</f>
        <v>133631013.61197181</v>
      </c>
      <c r="O16" s="147">
        <f t="shared" ref="O16:X16" si="7">O10*O14</f>
        <v>122013539.95440418</v>
      </c>
      <c r="P16" s="147">
        <f t="shared" si="7"/>
        <v>138182307.4401089</v>
      </c>
      <c r="Q16" s="147">
        <f t="shared" si="7"/>
        <v>134522454.95850205</v>
      </c>
      <c r="R16" s="147">
        <f t="shared" si="7"/>
        <v>137403274.48119819</v>
      </c>
      <c r="S16" s="147">
        <f t="shared" si="7"/>
        <v>135609423.64675966</v>
      </c>
      <c r="T16" s="147">
        <f t="shared" si="7"/>
        <v>145632978.06856772</v>
      </c>
      <c r="U16" s="147">
        <f t="shared" si="7"/>
        <v>145809057.0669584</v>
      </c>
      <c r="V16" s="147">
        <f t="shared" si="7"/>
        <v>148350700.8038637</v>
      </c>
      <c r="W16" s="147">
        <f t="shared" si="7"/>
        <v>156376242.33415848</v>
      </c>
      <c r="X16" s="147">
        <f t="shared" si="7"/>
        <v>147150844.72322607</v>
      </c>
      <c r="Y16" s="147">
        <f>Y10*Y14</f>
        <v>149866303.30851117</v>
      </c>
      <c r="Z16" s="147">
        <f t="shared" si="2"/>
        <v>1694548140.3982303</v>
      </c>
    </row>
    <row r="17" spans="3:26" x14ac:dyDescent="0.25">
      <c r="E17" s="116" t="s">
        <v>150</v>
      </c>
      <c r="F17" s="117">
        <f>X$19</f>
        <v>5050059.6066806521</v>
      </c>
      <c r="G17" s="117">
        <f t="shared" si="0"/>
        <v>4956989.7412439995</v>
      </c>
      <c r="H17" s="248">
        <f>Volume_2018!N$112</f>
        <v>27801400.68</v>
      </c>
      <c r="I17" s="143">
        <f>+Indices_2018!D20</f>
        <v>5092.97</v>
      </c>
      <c r="J17" s="117">
        <f t="shared" si="1"/>
        <v>93209.480194237345</v>
      </c>
      <c r="L17" s="128" t="s">
        <v>151</v>
      </c>
      <c r="M17" s="133" t="s">
        <v>127</v>
      </c>
      <c r="N17" s="148">
        <f t="shared" ref="N17:X17" si="8">(N10*N14)*2.5%</f>
        <v>3340775.3402992953</v>
      </c>
      <c r="O17" s="148">
        <f t="shared" si="8"/>
        <v>3050338.4988601045</v>
      </c>
      <c r="P17" s="148">
        <f t="shared" si="8"/>
        <v>3454557.6860027225</v>
      </c>
      <c r="Q17" s="148">
        <f t="shared" si="8"/>
        <v>3363061.3739625514</v>
      </c>
      <c r="R17" s="148">
        <f t="shared" si="8"/>
        <v>3435081.8620299548</v>
      </c>
      <c r="S17" s="148">
        <f t="shared" si="8"/>
        <v>3390235.5911689918</v>
      </c>
      <c r="T17" s="148">
        <f t="shared" si="8"/>
        <v>3640824.4517141934</v>
      </c>
      <c r="U17" s="148">
        <f t="shared" si="8"/>
        <v>3645226.4266739599</v>
      </c>
      <c r="V17" s="148">
        <f t="shared" si="8"/>
        <v>3708767.5200965926</v>
      </c>
      <c r="W17" s="148">
        <f t="shared" si="8"/>
        <v>3909406.0583539624</v>
      </c>
      <c r="X17" s="148">
        <f t="shared" si="8"/>
        <v>3678771.1180806519</v>
      </c>
      <c r="Y17" s="148">
        <f>(Y10*Y14)*2.5%</f>
        <v>3746657.5827127793</v>
      </c>
      <c r="Z17" s="149">
        <f t="shared" si="2"/>
        <v>42363703.509955756</v>
      </c>
    </row>
    <row r="18" spans="3:26" ht="18" customHeight="1" x14ac:dyDescent="0.25">
      <c r="C18" s="162"/>
      <c r="E18" s="116" t="s">
        <v>152</v>
      </c>
      <c r="F18" s="117">
        <f>Y$19</f>
        <v>5047271.1444127792</v>
      </c>
      <c r="G18" s="117">
        <f t="shared" si="0"/>
        <v>4846553.4403189998</v>
      </c>
      <c r="H18" s="248">
        <f>Volume_2018!O$112</f>
        <v>27182015.93</v>
      </c>
      <c r="I18" s="143">
        <f>+Indices_2018!D21</f>
        <v>5100.6099999999997</v>
      </c>
      <c r="J18" s="117">
        <f t="shared" si="1"/>
        <v>200717.70409377944</v>
      </c>
      <c r="L18" s="134" t="s">
        <v>153</v>
      </c>
      <c r="M18" s="135" t="s">
        <v>127</v>
      </c>
      <c r="N18" s="150">
        <f t="shared" ref="N18:S18" si="9">(N13*N14)*1%</f>
        <v>1200939.6819</v>
      </c>
      <c r="O18" s="150">
        <f t="shared" si="9"/>
        <v>1205673.0009999999</v>
      </c>
      <c r="P18" s="150">
        <f t="shared" si="9"/>
        <v>1213732.8004000001</v>
      </c>
      <c r="Q18" s="150">
        <f t="shared" si="9"/>
        <v>1250902.4486000002</v>
      </c>
      <c r="R18" s="150">
        <f t="shared" si="9"/>
        <v>1262367.1649</v>
      </c>
      <c r="S18" s="150">
        <f t="shared" si="9"/>
        <v>1296350.487</v>
      </c>
      <c r="T18" s="150">
        <f t="shared" ref="T18:Y18" si="10">(T13*T14)*1%</f>
        <v>1374321.5282000001</v>
      </c>
      <c r="U18" s="150">
        <f t="shared" si="10"/>
        <v>1327486.8724</v>
      </c>
      <c r="V18" s="150">
        <f t="shared" si="10"/>
        <v>1412837.6344999999</v>
      </c>
      <c r="W18" s="150">
        <f t="shared" si="10"/>
        <v>1472224.4822</v>
      </c>
      <c r="X18" s="150">
        <f t="shared" si="10"/>
        <v>1371288.4886000003</v>
      </c>
      <c r="Y18" s="150">
        <f t="shared" si="10"/>
        <v>1300613.5617</v>
      </c>
      <c r="Z18" s="151">
        <f t="shared" si="2"/>
        <v>15688738.151400002</v>
      </c>
    </row>
    <row r="19" spans="3:26" x14ac:dyDescent="0.25">
      <c r="E19" s="224" t="s">
        <v>124</v>
      </c>
      <c r="F19" s="249">
        <f>SUM(F7:F18)</f>
        <v>58052441.661355756</v>
      </c>
      <c r="G19" s="249">
        <f>SUM(G7:G18)</f>
        <v>57947150.788752005</v>
      </c>
      <c r="H19" s="250">
        <f>SUM(H7:H18)</f>
        <v>324998041.44</v>
      </c>
      <c r="I19" s="249"/>
      <c r="J19" s="249">
        <f>SUM(J7:J18)</f>
        <v>89685.882036092109</v>
      </c>
      <c r="L19" s="309" t="s">
        <v>98</v>
      </c>
      <c r="M19" s="309"/>
      <c r="N19" s="152">
        <f>+N18+N17</f>
        <v>4541715.0221992955</v>
      </c>
      <c r="O19" s="152">
        <f t="shared" ref="O19:X19" si="11">+O18+O17</f>
        <v>4256011.4998601042</v>
      </c>
      <c r="P19" s="152">
        <f t="shared" si="11"/>
        <v>4668290.4864027221</v>
      </c>
      <c r="Q19" s="152">
        <f t="shared" si="11"/>
        <v>4613963.8225625511</v>
      </c>
      <c r="R19" s="152">
        <f t="shared" si="11"/>
        <v>4697449.026929955</v>
      </c>
      <c r="S19" s="152">
        <f t="shared" si="11"/>
        <v>4686586.078168992</v>
      </c>
      <c r="T19" s="152">
        <f t="shared" si="11"/>
        <v>5015145.979914194</v>
      </c>
      <c r="U19" s="152">
        <f t="shared" si="11"/>
        <v>4972713.2990739597</v>
      </c>
      <c r="V19" s="152">
        <f t="shared" si="11"/>
        <v>5121605.1545965923</v>
      </c>
      <c r="W19" s="152">
        <f t="shared" si="11"/>
        <v>5381630.5405539628</v>
      </c>
      <c r="X19" s="152">
        <f t="shared" si="11"/>
        <v>5050059.6066806521</v>
      </c>
      <c r="Y19" s="152">
        <f>+Y18+Y17</f>
        <v>5047271.1444127792</v>
      </c>
      <c r="Z19" s="152">
        <f>+Z18+Z17</f>
        <v>58052441.661355756</v>
      </c>
    </row>
    <row r="20" spans="3:26" x14ac:dyDescent="0.25">
      <c r="G20" s="62"/>
      <c r="L20" s="126"/>
      <c r="M20" s="126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</row>
    <row r="21" spans="3:26" x14ac:dyDescent="0.25">
      <c r="E21" s="305" t="s">
        <v>298</v>
      </c>
      <c r="F21" s="305"/>
      <c r="G21" s="305"/>
      <c r="H21" s="305"/>
      <c r="I21" s="305"/>
      <c r="J21" s="305"/>
    </row>
    <row r="22" spans="3:26" x14ac:dyDescent="0.25">
      <c r="E22" s="305"/>
      <c r="F22" s="305"/>
      <c r="G22" s="305"/>
      <c r="H22" s="305"/>
      <c r="I22" s="305"/>
      <c r="J22" s="305"/>
    </row>
    <row r="25" spans="3:26" x14ac:dyDescent="0.25">
      <c r="E25" s="202" t="s">
        <v>154</v>
      </c>
      <c r="F25" s="163"/>
    </row>
    <row r="26" spans="3:26" x14ac:dyDescent="0.25">
      <c r="E26" s="163" t="s">
        <v>155</v>
      </c>
      <c r="F26" s="62"/>
    </row>
    <row r="27" spans="3:26" x14ac:dyDescent="0.25">
      <c r="E27" s="163" t="s">
        <v>156</v>
      </c>
    </row>
    <row r="28" spans="3:26" x14ac:dyDescent="0.25">
      <c r="E28" s="163"/>
    </row>
  </sheetData>
  <mergeCells count="9">
    <mergeCell ref="E2:J2"/>
    <mergeCell ref="E21:J22"/>
    <mergeCell ref="N5:Z5"/>
    <mergeCell ref="L19:M19"/>
    <mergeCell ref="B9:C9"/>
    <mergeCell ref="E5:J5"/>
    <mergeCell ref="L5:L6"/>
    <mergeCell ref="M5:M6"/>
    <mergeCell ref="B15:C1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N10:Z10" formulaRange="1"/>
    <ignoredError sqref="O14:Z19 J16:J19" evalErro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241DA-584F-4625-9391-CA6EB0DCEB4E}">
  <sheetPr>
    <tabColor rgb="FF00B0F0"/>
  </sheetPr>
  <dimension ref="B3:H32"/>
  <sheetViews>
    <sheetView showGridLines="0" workbookViewId="0">
      <selection activeCell="F24" sqref="F24"/>
    </sheetView>
  </sheetViews>
  <sheetFormatPr defaultRowHeight="15" x14ac:dyDescent="0.25"/>
  <cols>
    <col min="2" max="2" width="45" customWidth="1"/>
    <col min="3" max="3" width="34.42578125" customWidth="1"/>
    <col min="4" max="4" width="14" bestFit="1" customWidth="1"/>
    <col min="5" max="5" width="23.140625" customWidth="1"/>
    <col min="6" max="6" width="28.42578125" bestFit="1" customWidth="1"/>
    <col min="7" max="7" width="16.140625" bestFit="1" customWidth="1"/>
    <col min="8" max="8" width="29.42578125" bestFit="1" customWidth="1"/>
    <col min="9" max="9" width="13.140625" bestFit="1" customWidth="1"/>
    <col min="10" max="10" width="14.140625" bestFit="1" customWidth="1"/>
  </cols>
  <sheetData>
    <row r="3" spans="2:8" ht="18" x14ac:dyDescent="0.25">
      <c r="C3" s="269" t="s">
        <v>302</v>
      </c>
      <c r="D3" s="269"/>
      <c r="E3" s="269"/>
      <c r="F3" s="269"/>
      <c r="G3" s="269"/>
      <c r="H3" s="18"/>
    </row>
    <row r="6" spans="2:8" x14ac:dyDescent="0.25">
      <c r="B6" s="313" t="s">
        <v>157</v>
      </c>
      <c r="C6" s="313"/>
      <c r="F6" s="313" t="s">
        <v>158</v>
      </c>
      <c r="G6" s="313"/>
    </row>
    <row r="7" spans="2:8" x14ac:dyDescent="0.25">
      <c r="B7" s="206" t="s">
        <v>159</v>
      </c>
      <c r="C7" s="207">
        <v>3401706.5649962085</v>
      </c>
      <c r="F7" s="208">
        <v>42339</v>
      </c>
      <c r="G7" s="209">
        <v>4493.17</v>
      </c>
    </row>
    <row r="8" spans="2:8" x14ac:dyDescent="0.25">
      <c r="B8" s="206" t="s">
        <v>160</v>
      </c>
      <c r="C8" s="207">
        <v>364894.07</v>
      </c>
      <c r="F8" s="208">
        <v>43435</v>
      </c>
      <c r="G8" s="209">
        <f>Indices_2018!D21</f>
        <v>5100.6099999999997</v>
      </c>
    </row>
    <row r="10" spans="2:8" x14ac:dyDescent="0.25">
      <c r="B10" s="313" t="s">
        <v>161</v>
      </c>
      <c r="C10" s="313"/>
      <c r="F10" s="210" t="s">
        <v>296</v>
      </c>
      <c r="G10" s="211">
        <f>G8/G7-1</f>
        <v>0.13519185786426946</v>
      </c>
    </row>
    <row r="11" spans="2:8" x14ac:dyDescent="0.25">
      <c r="B11" s="206" t="s">
        <v>162</v>
      </c>
      <c r="C11" s="207">
        <f>C7*(1+G10)</f>
        <v>3861589.5954271285</v>
      </c>
      <c r="F11" s="212" t="s">
        <v>163</v>
      </c>
    </row>
    <row r="12" spans="2:8" x14ac:dyDescent="0.25">
      <c r="B12" s="206" t="s">
        <v>164</v>
      </c>
      <c r="C12" s="207">
        <v>18807</v>
      </c>
      <c r="E12" s="213"/>
      <c r="F12" s="213"/>
      <c r="G12" s="214"/>
    </row>
    <row r="13" spans="2:8" x14ac:dyDescent="0.25">
      <c r="B13" s="215" t="s">
        <v>165</v>
      </c>
      <c r="C13" s="216">
        <f>SUM(C11:C12)</f>
        <v>3880396.5954271285</v>
      </c>
      <c r="E13" s="213"/>
    </row>
    <row r="15" spans="2:8" x14ac:dyDescent="0.25">
      <c r="B15" s="313" t="s">
        <v>160</v>
      </c>
      <c r="C15" s="313"/>
      <c r="D15" s="313"/>
      <c r="F15" s="313" t="s">
        <v>166</v>
      </c>
      <c r="G15" s="313"/>
    </row>
    <row r="16" spans="2:8" x14ac:dyDescent="0.25">
      <c r="B16" s="319" t="s">
        <v>167</v>
      </c>
      <c r="C16" s="206" t="s">
        <v>168</v>
      </c>
      <c r="D16" s="207">
        <v>1220716.6128971998</v>
      </c>
      <c r="F16" s="217" t="s">
        <v>169</v>
      </c>
      <c r="G16" s="207">
        <f>'CF 2019'!J19</f>
        <v>89685.882036092109</v>
      </c>
    </row>
    <row r="17" spans="2:7" x14ac:dyDescent="0.25">
      <c r="B17" s="320"/>
      <c r="C17" s="206" t="s">
        <v>170</v>
      </c>
      <c r="D17" s="207">
        <v>625198.18363957445</v>
      </c>
      <c r="F17" s="217" t="s">
        <v>159</v>
      </c>
      <c r="G17" s="207">
        <f>C13</f>
        <v>3880396.5954271285</v>
      </c>
    </row>
    <row r="18" spans="2:7" x14ac:dyDescent="0.25">
      <c r="B18" s="320"/>
      <c r="C18" s="206" t="s">
        <v>171</v>
      </c>
      <c r="D18" s="207">
        <v>405483.70036588213</v>
      </c>
      <c r="F18" s="217" t="s">
        <v>160</v>
      </c>
      <c r="G18" s="207">
        <f>D27</f>
        <v>2771252.0496557034</v>
      </c>
    </row>
    <row r="19" spans="2:7" x14ac:dyDescent="0.25">
      <c r="B19" s="321"/>
      <c r="C19" s="215" t="s">
        <v>172</v>
      </c>
      <c r="D19" s="216">
        <f>SUM(D16:D18)</f>
        <v>2251398.4969026567</v>
      </c>
      <c r="F19" s="217" t="s">
        <v>173</v>
      </c>
      <c r="G19" s="207">
        <f>D29</f>
        <v>60000</v>
      </c>
    </row>
    <row r="20" spans="2:7" x14ac:dyDescent="0.25">
      <c r="B20" s="314" t="s">
        <v>160</v>
      </c>
      <c r="C20" s="206" t="s">
        <v>174</v>
      </c>
      <c r="D20" s="207">
        <v>455045.05000000173</v>
      </c>
      <c r="F20" s="225" t="s">
        <v>98</v>
      </c>
      <c r="G20" s="218">
        <f>SUM(G16:G19)</f>
        <v>6801334.5271189241</v>
      </c>
    </row>
    <row r="21" spans="2:7" x14ac:dyDescent="0.25">
      <c r="B21" s="315"/>
      <c r="C21" s="206" t="s">
        <v>175</v>
      </c>
      <c r="D21" s="207">
        <v>207315</v>
      </c>
    </row>
    <row r="22" spans="2:7" x14ac:dyDescent="0.25">
      <c r="B22" s="315"/>
      <c r="C22" s="206" t="s">
        <v>176</v>
      </c>
      <c r="D22" s="207">
        <v>14981.129999999997</v>
      </c>
    </row>
    <row r="23" spans="2:7" x14ac:dyDescent="0.25">
      <c r="B23" s="316"/>
      <c r="C23" s="215" t="s">
        <v>172</v>
      </c>
      <c r="D23" s="216">
        <f>SUM(D20:D22)</f>
        <v>677341.18000000168</v>
      </c>
    </row>
    <row r="24" spans="2:7" x14ac:dyDescent="0.25">
      <c r="B24" s="317" t="s">
        <v>177</v>
      </c>
      <c r="C24" s="318"/>
      <c r="D24" s="207">
        <v>256737.15</v>
      </c>
    </row>
    <row r="25" spans="2:7" x14ac:dyDescent="0.25">
      <c r="B25" s="317" t="s">
        <v>98</v>
      </c>
      <c r="C25" s="318"/>
      <c r="D25" s="216">
        <f>D23+D19+D24</f>
        <v>3185476.8269026582</v>
      </c>
    </row>
    <row r="26" spans="2:7" x14ac:dyDescent="0.25">
      <c r="B26" s="317" t="s">
        <v>295</v>
      </c>
      <c r="C26" s="318"/>
      <c r="D26" s="207">
        <f>-C8*(1+G10)</f>
        <v>-414224.77724695479</v>
      </c>
    </row>
    <row r="27" spans="2:7" x14ac:dyDescent="0.25">
      <c r="B27" s="317" t="s">
        <v>178</v>
      </c>
      <c r="C27" s="318"/>
      <c r="D27" s="216">
        <f>SUM(D25:D26)</f>
        <v>2771252.0496557034</v>
      </c>
    </row>
    <row r="29" spans="2:7" x14ac:dyDescent="0.25">
      <c r="B29" s="313" t="s">
        <v>173</v>
      </c>
      <c r="C29" s="313"/>
      <c r="D29" s="216">
        <v>60000</v>
      </c>
    </row>
    <row r="31" spans="2:7" x14ac:dyDescent="0.25">
      <c r="B31" s="313" t="s">
        <v>179</v>
      </c>
      <c r="C31" s="313"/>
      <c r="D31" s="216">
        <f>D27+C13+D29</f>
        <v>6711648.6450828314</v>
      </c>
    </row>
    <row r="32" spans="2:7" x14ac:dyDescent="0.25">
      <c r="B32" s="212"/>
    </row>
  </sheetData>
  <mergeCells count="14">
    <mergeCell ref="C3:G3"/>
    <mergeCell ref="B31:C31"/>
    <mergeCell ref="B20:B23"/>
    <mergeCell ref="B24:C24"/>
    <mergeCell ref="B25:C25"/>
    <mergeCell ref="B26:C26"/>
    <mergeCell ref="B27:C27"/>
    <mergeCell ref="B29:C29"/>
    <mergeCell ref="B16:B19"/>
    <mergeCell ref="B6:C6"/>
    <mergeCell ref="F6:G6"/>
    <mergeCell ref="B10:C10"/>
    <mergeCell ref="B15:D15"/>
    <mergeCell ref="F15:G15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tabColor rgb="FFFFFF00"/>
  </sheetPr>
  <dimension ref="A1:H60"/>
  <sheetViews>
    <sheetView showGridLines="0" zoomScale="80" zoomScaleNormal="80" workbookViewId="0">
      <selection activeCell="D28" sqref="D28"/>
    </sheetView>
  </sheetViews>
  <sheetFormatPr defaultRowHeight="15" x14ac:dyDescent="0.25"/>
  <cols>
    <col min="1" max="1" width="4.85546875" style="93" customWidth="1"/>
    <col min="2" max="2" width="77.85546875" style="93" customWidth="1"/>
    <col min="3" max="3" width="26.28515625" style="93" customWidth="1"/>
    <col min="4" max="4" width="15.85546875" style="93" customWidth="1"/>
    <col min="5" max="5" width="6" style="93" customWidth="1"/>
    <col min="6" max="6" width="47" customWidth="1"/>
    <col min="7" max="7" width="11" customWidth="1"/>
    <col min="8" max="8" width="24.5703125" customWidth="1"/>
    <col min="10" max="12" width="15.140625" bestFit="1" customWidth="1"/>
  </cols>
  <sheetData>
    <row r="1" spans="2:5" s="93" customFormat="1" ht="14.25" x14ac:dyDescent="0.2"/>
    <row r="2" spans="2:5" s="93" customFormat="1" ht="14.25" x14ac:dyDescent="0.2"/>
    <row r="3" spans="2:5" s="93" customFormat="1" ht="18" x14ac:dyDescent="0.2">
      <c r="B3" s="325" t="s">
        <v>21</v>
      </c>
      <c r="C3" s="325"/>
      <c r="D3" s="325"/>
      <c r="E3" s="325"/>
    </row>
    <row r="4" spans="2:5" s="93" customFormat="1" ht="14.25" x14ac:dyDescent="0.2"/>
    <row r="5" spans="2:5" s="93" customFormat="1" ht="14.25" x14ac:dyDescent="0.2"/>
    <row r="6" spans="2:5" s="93" customFormat="1" ht="14.25" x14ac:dyDescent="0.2"/>
    <row r="7" spans="2:5" s="95" customFormat="1" x14ac:dyDescent="0.25">
      <c r="B7" s="219" t="s">
        <v>22</v>
      </c>
      <c r="C7" s="94" t="s">
        <v>23</v>
      </c>
    </row>
    <row r="8" spans="2:5" s="98" customFormat="1" ht="14.25" x14ac:dyDescent="0.2">
      <c r="B8" s="96" t="s">
        <v>24</v>
      </c>
      <c r="C8" s="97" t="s">
        <v>25</v>
      </c>
    </row>
    <row r="9" spans="2:5" s="98" customFormat="1" ht="14.25" x14ac:dyDescent="0.2">
      <c r="B9" s="96" t="s">
        <v>26</v>
      </c>
      <c r="C9" s="97" t="s">
        <v>27</v>
      </c>
      <c r="D9" s="1"/>
    </row>
    <row r="10" spans="2:5" s="98" customFormat="1" ht="14.25" x14ac:dyDescent="0.2">
      <c r="B10" s="102" t="s">
        <v>28</v>
      </c>
      <c r="C10" s="97" t="s">
        <v>29</v>
      </c>
      <c r="D10" s="1"/>
    </row>
    <row r="11" spans="2:5" s="98" customFormat="1" ht="14.25" x14ac:dyDescent="0.2">
      <c r="B11" s="102" t="s">
        <v>30</v>
      </c>
      <c r="C11" s="97" t="s">
        <v>25</v>
      </c>
      <c r="D11" s="1"/>
    </row>
    <row r="12" spans="2:5" s="98" customFormat="1" ht="14.25" x14ac:dyDescent="0.2">
      <c r="B12" s="96" t="s">
        <v>31</v>
      </c>
      <c r="C12" s="97" t="s">
        <v>32</v>
      </c>
      <c r="D12" s="1"/>
    </row>
    <row r="13" spans="2:5" s="98" customFormat="1" ht="14.25" x14ac:dyDescent="0.2">
      <c r="B13" s="101" t="s">
        <v>33</v>
      </c>
      <c r="C13" s="97" t="s">
        <v>32</v>
      </c>
      <c r="D13" s="1"/>
    </row>
    <row r="14" spans="2:5" s="98" customFormat="1" ht="14.25" x14ac:dyDescent="0.2">
      <c r="B14" s="102" t="s">
        <v>34</v>
      </c>
      <c r="C14" s="97" t="s">
        <v>35</v>
      </c>
      <c r="D14" s="1"/>
      <c r="E14" s="1"/>
    </row>
    <row r="15" spans="2:5" s="98" customFormat="1" ht="14.25" x14ac:dyDescent="0.2">
      <c r="B15" s="102" t="s">
        <v>36</v>
      </c>
      <c r="C15" s="97" t="s">
        <v>32</v>
      </c>
      <c r="D15" s="1"/>
      <c r="E15" s="1"/>
    </row>
    <row r="16" spans="2:5" s="93" customFormat="1" ht="14.25" x14ac:dyDescent="0.2"/>
    <row r="17" spans="2:8" s="104" customFormat="1" x14ac:dyDescent="0.25">
      <c r="B17" s="322" t="s">
        <v>20</v>
      </c>
      <c r="C17" s="323"/>
      <c r="D17" s="324"/>
    </row>
    <row r="18" spans="2:8" s="104" customFormat="1" ht="16.5" x14ac:dyDescent="0.25">
      <c r="B18" s="326" t="s">
        <v>37</v>
      </c>
      <c r="C18" s="327"/>
      <c r="D18" s="328"/>
    </row>
    <row r="19" spans="2:8" s="93" customFormat="1" ht="18.75" x14ac:dyDescent="0.35">
      <c r="B19" s="96" t="s">
        <v>38</v>
      </c>
      <c r="C19" s="99" t="s">
        <v>39</v>
      </c>
      <c r="D19" s="142">
        <v>0.17197903529287317</v>
      </c>
    </row>
    <row r="20" spans="2:8" s="93" customFormat="1" ht="18.75" x14ac:dyDescent="0.35">
      <c r="B20" s="96" t="s">
        <v>40</v>
      </c>
      <c r="C20" s="99" t="s">
        <v>41</v>
      </c>
      <c r="D20" s="142">
        <v>5.0467053305102469E-2</v>
      </c>
    </row>
    <row r="21" spans="2:8" s="93" customFormat="1" ht="18.75" x14ac:dyDescent="0.35">
      <c r="B21" s="96" t="s">
        <v>42</v>
      </c>
      <c r="C21" s="99" t="s">
        <v>43</v>
      </c>
      <c r="D21" s="142">
        <v>4.5362431759679263</v>
      </c>
    </row>
    <row r="22" spans="2:8" s="93" customFormat="1" ht="18.75" x14ac:dyDescent="0.35">
      <c r="B22" s="96" t="s">
        <v>44</v>
      </c>
      <c r="C22" s="99" t="s">
        <v>45</v>
      </c>
      <c r="D22" s="142">
        <v>1.9243832943102179E-2</v>
      </c>
    </row>
    <row r="23" spans="2:8" s="93" customFormat="1" x14ac:dyDescent="0.2">
      <c r="B23" s="326" t="s">
        <v>46</v>
      </c>
      <c r="C23" s="327"/>
      <c r="D23" s="154">
        <f>SUM(D19:D22)</f>
        <v>4.7779330975090044</v>
      </c>
    </row>
    <row r="24" spans="2:8" s="93" customFormat="1" ht="14.25" x14ac:dyDescent="0.2">
      <c r="B24" s="173" t="s">
        <v>47</v>
      </c>
      <c r="C24" s="104"/>
      <c r="D24" s="104"/>
    </row>
    <row r="25" spans="2:8" s="93" customFormat="1" x14ac:dyDescent="0.2">
      <c r="B25" s="201" t="s">
        <v>48</v>
      </c>
      <c r="C25" s="104"/>
      <c r="D25" s="104"/>
    </row>
    <row r="26" spans="2:8" s="93" customFormat="1" ht="14.25" x14ac:dyDescent="0.2">
      <c r="B26" s="104"/>
      <c r="C26" s="104"/>
      <c r="D26" s="104"/>
    </row>
    <row r="27" spans="2:8" s="93" customFormat="1" ht="16.5" x14ac:dyDescent="0.2">
      <c r="B27" s="322" t="s">
        <v>49</v>
      </c>
      <c r="C27" s="323"/>
      <c r="D27" s="324"/>
      <c r="F27" s="322" t="s">
        <v>50</v>
      </c>
      <c r="G27" s="323"/>
      <c r="H27" s="324"/>
    </row>
    <row r="28" spans="2:8" s="93" customFormat="1" ht="18.75" x14ac:dyDescent="0.35">
      <c r="B28" s="96" t="s">
        <v>38</v>
      </c>
      <c r="C28" s="99" t="s">
        <v>51</v>
      </c>
      <c r="D28" s="100">
        <f>'VPA 2019'!C26</f>
        <v>0.17862397386808007</v>
      </c>
      <c r="F28" s="180" t="s">
        <v>52</v>
      </c>
      <c r="G28" s="181" t="s">
        <v>53</v>
      </c>
      <c r="H28" s="182">
        <f>'VPA 2019'!C23</f>
        <v>58052441.661355764</v>
      </c>
    </row>
    <row r="29" spans="2:8" s="93" customFormat="1" ht="18.75" x14ac:dyDescent="0.35">
      <c r="B29" s="101" t="s">
        <v>40</v>
      </c>
      <c r="C29" s="141" t="s">
        <v>54</v>
      </c>
      <c r="D29" s="100">
        <f>'Bonus Desconto'!K15/H33</f>
        <v>3.1729661968830265E-2</v>
      </c>
      <c r="F29" s="180" t="s">
        <v>55</v>
      </c>
      <c r="G29" s="181" t="s">
        <v>56</v>
      </c>
      <c r="H29" s="182">
        <f>'Bonus Desconto'!K15</f>
        <v>10312077.99542309</v>
      </c>
    </row>
    <row r="30" spans="2:8" s="93" customFormat="1" ht="18.75" x14ac:dyDescent="0.35">
      <c r="B30" s="96" t="s">
        <v>42</v>
      </c>
      <c r="C30" s="99" t="s">
        <v>57</v>
      </c>
      <c r="D30" s="100">
        <f>+'VPB 2019'!C24</f>
        <v>4.8141256080793831</v>
      </c>
      <c r="F30" s="180" t="s">
        <v>58</v>
      </c>
      <c r="G30" s="181" t="s">
        <v>59</v>
      </c>
      <c r="H30" s="182">
        <f>'IRT 2019'!D30*H33</f>
        <v>1564581393.8719485</v>
      </c>
    </row>
    <row r="31" spans="2:8" s="104" customFormat="1" ht="18.75" x14ac:dyDescent="0.35">
      <c r="B31" s="96" t="s">
        <v>60</v>
      </c>
      <c r="C31" s="99" t="s">
        <v>61</v>
      </c>
      <c r="D31" s="100">
        <f>'CF 2019'!C10</f>
        <v>2.09273092754147E-2</v>
      </c>
      <c r="F31" s="180" t="s">
        <v>62</v>
      </c>
      <c r="G31" s="181" t="s">
        <v>63</v>
      </c>
      <c r="H31" s="182">
        <f>'CF 2019'!C11</f>
        <v>6801334.5271189231</v>
      </c>
    </row>
    <row r="32" spans="2:8" s="93" customFormat="1" x14ac:dyDescent="0.2">
      <c r="B32" s="326" t="s">
        <v>64</v>
      </c>
      <c r="C32" s="327" t="s">
        <v>65</v>
      </c>
      <c r="D32" s="154">
        <f>SUM(D28:D31)</f>
        <v>5.0454065531917083</v>
      </c>
      <c r="F32" s="183" t="s">
        <v>66</v>
      </c>
      <c r="G32" s="184" t="s">
        <v>67</v>
      </c>
      <c r="H32" s="185">
        <f>SUM(H28:H31)</f>
        <v>1639747248.0558462</v>
      </c>
    </row>
    <row r="33" spans="1:8" s="104" customFormat="1" ht="16.5" x14ac:dyDescent="0.25">
      <c r="B33" s="322" t="s">
        <v>68</v>
      </c>
      <c r="C33" s="324"/>
      <c r="D33" s="103">
        <f>D32/D23-1</f>
        <v>5.5980996431731489E-2</v>
      </c>
      <c r="F33" s="183" t="s">
        <v>303</v>
      </c>
      <c r="G33" s="184" t="s">
        <v>69</v>
      </c>
      <c r="H33" s="186">
        <f>'VPA 2019'!C12</f>
        <v>324998041.44</v>
      </c>
    </row>
    <row r="34" spans="1:8" x14ac:dyDescent="0.25">
      <c r="B34" s="104"/>
      <c r="C34" s="104"/>
      <c r="D34" s="104"/>
    </row>
    <row r="35" spans="1:8" x14ac:dyDescent="0.25">
      <c r="D35" s="245"/>
    </row>
    <row r="36" spans="1:8" x14ac:dyDescent="0.25">
      <c r="D36" s="245"/>
    </row>
    <row r="37" spans="1:8" x14ac:dyDescent="0.25">
      <c r="D37" s="245"/>
    </row>
    <row r="38" spans="1:8" x14ac:dyDescent="0.25">
      <c r="D38" s="245"/>
    </row>
    <row r="39" spans="1:8" x14ac:dyDescent="0.25">
      <c r="A39" s="95"/>
      <c r="D39" s="245"/>
      <c r="E39" s="95"/>
    </row>
    <row r="40" spans="1:8" x14ac:dyDescent="0.25">
      <c r="A40" s="98"/>
      <c r="B40" s="95"/>
      <c r="C40" s="95"/>
      <c r="D40" s="95"/>
      <c r="E40" s="98"/>
    </row>
    <row r="41" spans="1:8" x14ac:dyDescent="0.25">
      <c r="A41" s="98"/>
      <c r="B41" s="98"/>
      <c r="C41" s="98"/>
      <c r="D41" s="98"/>
      <c r="E41" s="1"/>
    </row>
    <row r="42" spans="1:8" x14ac:dyDescent="0.25">
      <c r="A42" s="1"/>
      <c r="B42" s="1"/>
      <c r="C42" s="1"/>
      <c r="D42" s="1"/>
      <c r="E42" s="1"/>
    </row>
    <row r="43" spans="1:8" x14ac:dyDescent="0.25">
      <c r="A43" s="1"/>
      <c r="B43" s="1"/>
      <c r="C43" s="1"/>
      <c r="D43" s="1"/>
      <c r="E43" s="1"/>
    </row>
    <row r="44" spans="1:8" x14ac:dyDescent="0.25">
      <c r="A44" s="1"/>
      <c r="B44" s="1"/>
      <c r="C44" s="1"/>
      <c r="D44" s="1"/>
      <c r="E44" s="1"/>
    </row>
    <row r="45" spans="1:8" x14ac:dyDescent="0.25">
      <c r="A45" s="1"/>
      <c r="B45" s="1"/>
      <c r="C45" s="1"/>
      <c r="D45" s="1"/>
      <c r="E45" s="1"/>
    </row>
    <row r="46" spans="1:8" x14ac:dyDescent="0.25">
      <c r="A46" s="1"/>
      <c r="B46" s="1"/>
      <c r="C46" s="1"/>
      <c r="D46" s="1"/>
      <c r="E46" s="1"/>
    </row>
    <row r="47" spans="1:8" x14ac:dyDescent="0.25">
      <c r="A47" s="1"/>
      <c r="B47" s="1"/>
      <c r="C47" s="1"/>
      <c r="D47" s="1"/>
      <c r="E47" s="1"/>
    </row>
    <row r="48" spans="1:8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B60" s="1"/>
      <c r="C60" s="1"/>
      <c r="D60" s="1"/>
    </row>
  </sheetData>
  <mergeCells count="8">
    <mergeCell ref="F27:H27"/>
    <mergeCell ref="B3:E3"/>
    <mergeCell ref="B27:D27"/>
    <mergeCell ref="B33:C33"/>
    <mergeCell ref="B17:D17"/>
    <mergeCell ref="B18:D18"/>
    <mergeCell ref="B23:C23"/>
    <mergeCell ref="B32:C32"/>
  </mergeCells>
  <hyperlinks>
    <hyperlink ref="B25" r:id="rId1" xr:uid="{00000000-0004-0000-0100-000000000000}"/>
  </hyperlinks>
  <pageMargins left="0.511811024" right="0.511811024" top="0.78740157499999996" bottom="0.78740157499999996" header="0.31496062000000002" footer="0.31496062000000002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b520b24-8996-453a-8c5e-60294695dd12">
      <UserInfo>
        <DisplayName>Cássio Leandro Cossenzo</DisplayName>
        <AccountId>20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5FB8F595771546BCC83FFC58F4EB83" ma:contentTypeVersion="4" ma:contentTypeDescription="Crie um novo documento." ma:contentTypeScope="" ma:versionID="af56772fbd28503a74f97765480ab20b">
  <xsd:schema xmlns:xsd="http://www.w3.org/2001/XMLSchema" xmlns:xs="http://www.w3.org/2001/XMLSchema" xmlns:p="http://schemas.microsoft.com/office/2006/metadata/properties" xmlns:ns2="4b520b24-8996-453a-8c5e-60294695dd12" xmlns:ns3="12eaf6f9-417e-4436-811b-51d381a4d0a9" targetNamespace="http://schemas.microsoft.com/office/2006/metadata/properties" ma:root="true" ma:fieldsID="698b9ddd3cb872e257cfb74fa754b164" ns2:_="" ns3:_="">
    <xsd:import namespace="4b520b24-8996-453a-8c5e-60294695dd12"/>
    <xsd:import namespace="12eaf6f9-417e-4436-811b-51d381a4d0a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20b24-8996-453a-8c5e-60294695dd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eaf6f9-417e-4436-811b-51d381a4d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E5C07B-A263-424C-869C-57429B3A7A91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12eaf6f9-417e-4436-811b-51d381a4d0a9"/>
    <ds:schemaRef ds:uri="4b520b24-8996-453a-8c5e-60294695dd12"/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DF9B725-14FE-4C9C-A0D1-54DA2891A9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2FA26F-2079-4455-9D88-FFA97656DD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520b24-8996-453a-8c5e-60294695dd12"/>
    <ds:schemaRef ds:uri="12eaf6f9-417e-4436-811b-51d381a4d0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Fórmulas</vt:lpstr>
      <vt:lpstr>Indices_2018</vt:lpstr>
      <vt:lpstr>Volume_2018</vt:lpstr>
      <vt:lpstr>Bonus Desconto</vt:lpstr>
      <vt:lpstr>VPA 2019</vt:lpstr>
      <vt:lpstr>VPB 2019</vt:lpstr>
      <vt:lpstr>CF 2019</vt:lpstr>
      <vt:lpstr>CF - Outros 2019</vt:lpstr>
      <vt:lpstr>IRT 2019</vt:lpstr>
      <vt:lpstr>Tarifas 2019</vt:lpstr>
      <vt:lpstr>BH_2018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cassio.leandro</dc:creator>
  <cp:keywords/>
  <dc:description/>
  <cp:lastModifiedBy>Luciana Carvalho de Souza Junho</cp:lastModifiedBy>
  <cp:revision/>
  <cp:lastPrinted>2019-03-25T13:42:33Z</cp:lastPrinted>
  <dcterms:created xsi:type="dcterms:W3CDTF">2013-12-30T11:25:26Z</dcterms:created>
  <dcterms:modified xsi:type="dcterms:W3CDTF">2019-03-28T12:52:11Z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0x010100695FB8F595771546BCC83FFC58F4EB83</vt:lpwstr>
  </property>
  <property fmtid="{D5CDD505-2E9C-101B-9397-08002B2CF9AE}" pid="3" name="AuthorIds_UIVersion_8192">
    <vt:lpwstr>165</vt:lpwstr>
  </property>
</Properties>
</file>