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jessica.araujo\Downloads\"/>
    </mc:Choice>
  </mc:AlternateContent>
  <xr:revisionPtr revIDLastSave="0" documentId="13_ncr:1_{878578B4-8455-4FCA-AC8F-33BF2A3D3C1F}" xr6:coauthVersionLast="47" xr6:coauthVersionMax="47" xr10:uidLastSave="{00000000-0000-0000-0000-000000000000}"/>
  <bookViews>
    <workbookView xWindow="-28920" yWindow="-120" windowWidth="29040" windowHeight="15720" tabRatio="953" xr2:uid="{00000000-000D-0000-FFFF-FFFF00000000}"/>
  </bookViews>
  <sheets>
    <sheet name="Fórmulas" sheetId="30" r:id="rId1"/>
    <sheet name="Parâmetros" sheetId="32" r:id="rId2"/>
    <sheet name="Índices_2024" sheetId="35" r:id="rId3"/>
    <sheet name="Bônus-Desconto" sheetId="36" r:id="rId4"/>
    <sheet name="Volume_2024" sheetId="4" r:id="rId5"/>
    <sheet name="VPA 2025" sheetId="13" r:id="rId6"/>
    <sheet name="VPB 2025" sheetId="41" r:id="rId7"/>
    <sheet name="CF - 2025" sheetId="39" r:id="rId8"/>
    <sheet name="Outros CF" sheetId="47" r:id="rId9"/>
    <sheet name="Tarifa Social" sheetId="49" r:id="rId10"/>
    <sheet name="Compensação Tributária" sheetId="50" r:id="rId11"/>
    <sheet name="RTA 2025" sheetId="15" r:id="rId12"/>
    <sheet name="Tarifas 2025" sheetId="44" r:id="rId13"/>
    <sheet name="4ª RTP" sheetId="46" r:id="rId14"/>
  </sheets>
  <externalReferences>
    <externalReference r:id="rId15"/>
    <externalReference r:id="rId16"/>
    <externalReference r:id="rId17"/>
    <externalReference r:id="rId18"/>
    <externalReference r:id="rId19"/>
  </externalReferences>
  <definedNames>
    <definedName name="_R57_2007">[1]Parâmetros!#REF!</definedName>
    <definedName name="AdicionalIR">#REF!</definedName>
    <definedName name="AlugCentral">'[2]E-AdmSist'!$D$9</definedName>
    <definedName name="AlugCom">'[2]E-AdmSist'!$D$11</definedName>
    <definedName name="AlugETA_ETE">'[2]E-AdmSist'!$D$12</definedName>
    <definedName name="AlugPA">'[2]E-AdmSist'!$D$10</definedName>
    <definedName name="_xlnm.Print_Area" localSheetId="11">'RTA 2025'!$AI$26:$AK$26</definedName>
    <definedName name="_xlnm.Print_Area" localSheetId="12">'Tarifas 2025'!$AC$19:$AE$22</definedName>
    <definedName name="_xlnm.Print_Area">#REF!</definedName>
    <definedName name="AreaEst">'[2]E-AdmSist'!$I$9</definedName>
    <definedName name="AreaLabC">'[2]E-AdmSist'!$D$21</definedName>
    <definedName name="AreaOficC">'[2]E-AdmSist'!$D$22</definedName>
    <definedName name="B">[3]DRE!#REF!</definedName>
    <definedName name="BaseIR">#REF!</definedName>
    <definedName name="Beneficio">'[2]P-Indices'!$D$20</definedName>
    <definedName name="Caixa">#REF!</definedName>
    <definedName name="Capacitação">'[2]P-Indices'!$D$18</definedName>
    <definedName name="CAPM">#REF!</definedName>
    <definedName name="CRA">'[2]C-Teleatendimento'!$D$9</definedName>
    <definedName name="CS_NEG">#REF!</definedName>
    <definedName name="CS_PERC">#REF!</definedName>
    <definedName name="CTIPO">#REF!</definedName>
    <definedName name="CustAnalise">'[2]E-AdmSist'!$D$23</definedName>
    <definedName name="CustElet">'[2]E-AdmSist'!$D$18</definedName>
    <definedName name="CustEst">'[2]E-AdmSist'!$I$10</definedName>
    <definedName name="CustLimp">'[2]E-AdmSist'!$D$19</definedName>
    <definedName name="CustMovel">'[2]E-AdmSist'!$D$15</definedName>
    <definedName name="CustTel">'[2]E-AdmSist'!$D$17</definedName>
    <definedName name="Decimo_Terceiro">'[2]P-Indices'!$D$12</definedName>
    <definedName name="Deposito">'[2]E-AdmSist'!$D$16</definedName>
    <definedName name="dia_TrabMesCom">'[2]P-Indices'!$D$25</definedName>
    <definedName name="dia_TrabSem">'[2]P-Indices'!$D$24</definedName>
    <definedName name="Equipes">'[2]P-Equipes'!$B$11:$AV$105</definedName>
    <definedName name="FC_ElevEsg">'[2]E-Elevatorias'!$M$176</definedName>
    <definedName name="FC_ETE">'[2]E-ETA-ETE'!$J$86</definedName>
    <definedName name="fdgf">'[2]P-Indices'!$D$15</definedName>
    <definedName name="Ferias">'[2]P-Indices'!$D$13</definedName>
    <definedName name="FGTS">'[2]P-Indices'!$D$10</definedName>
    <definedName name="FreqAtCom">'[2]E-Estrutura'!$D$458</definedName>
    <definedName name="G">#REF!</definedName>
    <definedName name="gfhfgh">'[2]E-AdmSist'!$D$44</definedName>
    <definedName name="GR">#REF!</definedName>
    <definedName name="h_ElevEnerg">'[2]E-Elevatorias'!$D$10</definedName>
    <definedName name="h_OpEnerg">'[2]E-ETA-ETE'!$D$34</definedName>
    <definedName name="h_TrabDia">'[2]P-Indices'!$D$22</definedName>
    <definedName name="h_TrabOeM">'[2]P-Indices'!$D$23</definedName>
    <definedName name="h_VecDia">'[2]P-Indices'!$D$28</definedName>
    <definedName name="HoraExtra">'[2]P-Indices'!$D$19</definedName>
    <definedName name="IGPM_1">[2]Controle!$D$13</definedName>
    <definedName name="IGPM_2">[2]Controle!$D$16</definedName>
    <definedName name="Inativos">'[2]E-Economias'!$L$26</definedName>
    <definedName name="inflation">#REF!</definedName>
    <definedName name="Insalub_Max">'[2]P-Indices'!$D$17</definedName>
    <definedName name="Insalub_Med">'[2]P-Indices'!$D$16</definedName>
    <definedName name="Insalub_Min">'[2]P-Indices'!$D$15</definedName>
    <definedName name="INSS">'[2]P-Indices'!$D$9</definedName>
    <definedName name="InsumEscrit">'[2]E-AdmSist'!$D$20</definedName>
    <definedName name="InvHardPC">'[2]E-AdmSist'!$D$44</definedName>
    <definedName name="InvSoftPC">'[2]E-AdmSist'!$D$43</definedName>
    <definedName name="IPCA_1">[2]Controle!$D$12</definedName>
    <definedName name="IPCA_2">[2]Controle!$D$15</definedName>
    <definedName name="ir_perpetuo">#REF!</definedName>
    <definedName name="Lig_Ativ_Esg">'[2]E-Economias'!$J$39</definedName>
    <definedName name="Ligacoes_Tot">'[2]E-Economias'!$J$26</definedName>
    <definedName name="Lucro">#REF!</definedName>
    <definedName name="m2_Acom">'[2]E-AdmSist'!$D$14</definedName>
    <definedName name="m2_Indiv">'[2]E-AdmSist'!$D$13</definedName>
    <definedName name="Maquina">'[2]P-Veiculos'!$C$33:$W$47</definedName>
    <definedName name="MESES_A_PROJETAR">#REF!</definedName>
    <definedName name="MobDCom">'[2]E-AdmSist'!$I$13</definedName>
    <definedName name="MobDEng">'[2]E-AdmSist'!$I$15</definedName>
    <definedName name="MobDGest">'[2]E-AdmSist'!$I$16</definedName>
    <definedName name="MobPres">'[2]E-AdmSist'!$I$12</definedName>
    <definedName name="model">[4]Controle!#REF!</definedName>
    <definedName name="moeda">#REF!</definedName>
    <definedName name="o">'[5]T-Bonds'!$E$6</definedName>
    <definedName name="oi">#REF!</definedName>
    <definedName name="Pensao">'[2]P-Indices'!$D$21</definedName>
    <definedName name="PeriodoTaxa">#REF!</definedName>
    <definedName name="perpetuo">[3]DRE!#REF!</definedName>
    <definedName name="ponderada_abaixo">#REF!</definedName>
    <definedName name="ponderada_acima">#REF!</definedName>
    <definedName name="ponderada_simples">#REF!</definedName>
    <definedName name="PREJFISC_ACUM">#REF!</definedName>
    <definedName name="ProdQuim">'[2]E-ETA-ETE'!$C$9:$D$29</definedName>
    <definedName name="SalarioMinimo">'[2]P-Indices'!$D$11</definedName>
    <definedName name="Salarios">'[2]P-Salarios'!$C$9:$V$60</definedName>
    <definedName name="sem_TrabAno">'[2]P-Indices'!$D$26</definedName>
    <definedName name="sem_TrabVEC">'[2]P-Indices'!$D$27</definedName>
    <definedName name="simple">[4]BETA!#REF!</definedName>
    <definedName name="TarifConsElev">'[2]E-Elevatorias'!$D$9</definedName>
    <definedName name="TarifConsOp">'[2]E-ETA-ETE'!$D$33</definedName>
    <definedName name="TarifDemElev">'[2]E-Elevatorias'!$D$8</definedName>
    <definedName name="TarifDemOp">'[2]E-ETA-ETE'!$D$32</definedName>
    <definedName name="TaxaDesconto">#REF!</definedName>
    <definedName name="_xlnm.Print_Titles">#REF!</definedName>
    <definedName name="TMA">'[2]E-Estrutura'!$D$457</definedName>
    <definedName name="Tx_Desc">[3]DRE!#REF!</definedName>
    <definedName name="Veiculos">'[2]P-Veiculos'!$C$13:$W$27</definedName>
    <definedName name="VidaHard">'[2]E-AdmSist'!$E$34</definedName>
    <definedName name="VidaHardPC">'[2]E-AdmSist'!$E$36</definedName>
    <definedName name="VidaSoft">'[2]E-AdmSist'!$E$33</definedName>
    <definedName name="VidaSoftPC">'[2]E-AdmSist'!$E$35</definedName>
    <definedName name="WACC">[2]Controle!$D$9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5" l="1"/>
  <c r="C39" i="47"/>
  <c r="D36" i="47"/>
  <c r="G24" i="50"/>
  <c r="F11" i="50"/>
  <c r="E11" i="50"/>
  <c r="G11" i="50" s="1"/>
  <c r="E34" i="49"/>
  <c r="E30" i="49"/>
  <c r="C20" i="47"/>
  <c r="D11" i="47"/>
  <c r="D36" i="13"/>
  <c r="C31" i="13"/>
  <c r="C32" i="13"/>
  <c r="P27" i="39"/>
  <c r="P28" i="39"/>
  <c r="G12" i="50"/>
  <c r="E31" i="49" l="1"/>
  <c r="E32" i="49" s="1"/>
  <c r="B29" i="35" l="1"/>
  <c r="B30" i="35" s="1"/>
  <c r="B31" i="35" s="1"/>
  <c r="B32" i="35" s="1"/>
  <c r="B33" i="35" s="1"/>
  <c r="B34" i="35" s="1"/>
  <c r="B35" i="35" s="1"/>
  <c r="B36" i="35" s="1"/>
  <c r="B37" i="35" s="1"/>
  <c r="B38" i="35" s="1"/>
  <c r="B39" i="35" s="1"/>
  <c r="F40" i="35"/>
  <c r="G40" i="35" l="1"/>
  <c r="G50" i="35" s="1"/>
  <c r="C40" i="35"/>
  <c r="D40" i="35" l="1"/>
  <c r="G51" i="35" s="1"/>
  <c r="F50" i="35"/>
  <c r="H50" i="35" s="1"/>
  <c r="F51" i="35"/>
  <c r="H51" i="35" l="1"/>
  <c r="H52" i="35" s="1"/>
  <c r="E11" i="41" l="1"/>
  <c r="E12" i="50" l="1"/>
  <c r="E13" i="50"/>
  <c r="E14" i="50"/>
  <c r="E15" i="50"/>
  <c r="E16" i="50"/>
  <c r="E17" i="50"/>
  <c r="E18" i="50"/>
  <c r="E19" i="50"/>
  <c r="E20" i="50"/>
  <c r="E21" i="50"/>
  <c r="E22" i="50"/>
  <c r="E23" i="50"/>
  <c r="C24" i="50"/>
  <c r="D24" i="50"/>
  <c r="E24" i="50" l="1"/>
  <c r="F12" i="50" l="1"/>
  <c r="F13" i="50"/>
  <c r="F14" i="50"/>
  <c r="F15" i="50"/>
  <c r="F16" i="50"/>
  <c r="F17" i="50"/>
  <c r="F18" i="50"/>
  <c r="F19" i="50"/>
  <c r="F20" i="50"/>
  <c r="F21" i="50"/>
  <c r="F22" i="50"/>
  <c r="F23" i="50"/>
  <c r="G15" i="50" l="1"/>
  <c r="G14" i="50"/>
  <c r="G13" i="50"/>
  <c r="G19" i="50"/>
  <c r="G20" i="50"/>
  <c r="G21" i="50"/>
  <c r="G16" i="50"/>
  <c r="G22" i="50"/>
  <c r="G23" i="50"/>
  <c r="G17" i="50"/>
  <c r="G18" i="50"/>
  <c r="D30" i="39"/>
  <c r="D33" i="39"/>
  <c r="D32" i="39"/>
  <c r="D31" i="39"/>
  <c r="D29" i="39"/>
  <c r="D28" i="39"/>
  <c r="C30" i="13"/>
  <c r="C18" i="47"/>
  <c r="C15" i="47" s="1"/>
  <c r="D22" i="39"/>
  <c r="D21" i="39"/>
  <c r="D20" i="39"/>
  <c r="D19" i="39"/>
  <c r="D18" i="39"/>
  <c r="C11" i="47"/>
  <c r="C23" i="47"/>
  <c r="C26" i="47"/>
  <c r="C29" i="47"/>
  <c r="E13" i="15"/>
  <c r="E12" i="15"/>
  <c r="E10" i="15"/>
  <c r="E11" i="15"/>
  <c r="F11" i="15"/>
  <c r="C33" i="39" l="1"/>
  <c r="C32" i="39" l="1"/>
  <c r="E28" i="39"/>
  <c r="D23" i="39"/>
  <c r="C28" i="39" s="1"/>
  <c r="C40" i="39" s="1"/>
  <c r="P30" i="39"/>
  <c r="P12" i="39" l="1"/>
  <c r="C34" i="47" l="1"/>
  <c r="C33" i="47" s="1"/>
  <c r="P29" i="39" s="1"/>
  <c r="D39" i="47" l="1"/>
  <c r="D33" i="47"/>
  <c r="D23" i="15"/>
  <c r="D34" i="39" l="1"/>
  <c r="D35" i="39"/>
  <c r="D36" i="39"/>
  <c r="D37" i="39"/>
  <c r="D38" i="39"/>
  <c r="D39" i="39"/>
  <c r="C30" i="39" l="1"/>
  <c r="C29" i="39"/>
  <c r="F28" i="39"/>
  <c r="G28" i="39" s="1"/>
  <c r="F29" i="39"/>
  <c r="F30" i="39"/>
  <c r="F31" i="39"/>
  <c r="F32" i="39"/>
  <c r="F33" i="39"/>
  <c r="F34" i="39"/>
  <c r="F35" i="39"/>
  <c r="F36" i="39"/>
  <c r="F37" i="39"/>
  <c r="F38" i="39"/>
  <c r="F39" i="39"/>
  <c r="D35" i="13" l="1"/>
  <c r="K16" i="36" l="1"/>
  <c r="D21" i="15"/>
  <c r="P91" i="4" l="1"/>
  <c r="D22" i="15" l="1"/>
  <c r="D20" i="15"/>
  <c r="D15" i="41"/>
  <c r="D14" i="41"/>
  <c r="D13" i="41"/>
  <c r="D12" i="41"/>
  <c r="D11" i="41"/>
  <c r="C26" i="41" l="1"/>
  <c r="D24" i="15"/>
  <c r="E14" i="15"/>
  <c r="P129" i="4"/>
  <c r="D54" i="4" l="1"/>
  <c r="L20" i="36" l="1"/>
  <c r="K13" i="36"/>
  <c r="K15" i="36"/>
  <c r="K11" i="36"/>
  <c r="F11" i="36"/>
  <c r="O37" i="4" l="1"/>
  <c r="J24" i="4" l="1"/>
  <c r="F53" i="4"/>
  <c r="E53" i="4"/>
  <c r="G53" i="4"/>
  <c r="H53" i="4"/>
  <c r="I53" i="4"/>
  <c r="J53" i="4"/>
  <c r="K53" i="4"/>
  <c r="L53" i="4"/>
  <c r="M53" i="4"/>
  <c r="N53" i="4"/>
  <c r="O53" i="4"/>
  <c r="D53" i="4"/>
  <c r="E90" i="4"/>
  <c r="F90" i="4"/>
  <c r="G90" i="4"/>
  <c r="H90" i="4"/>
  <c r="I90" i="4"/>
  <c r="J90" i="4"/>
  <c r="K90" i="4"/>
  <c r="L90" i="4"/>
  <c r="M90" i="4"/>
  <c r="N90" i="4"/>
  <c r="O90" i="4"/>
  <c r="D90" i="4"/>
  <c r="E95" i="4"/>
  <c r="F95" i="4"/>
  <c r="G95" i="4"/>
  <c r="H95" i="4"/>
  <c r="I95" i="4"/>
  <c r="J95" i="4"/>
  <c r="K95" i="4"/>
  <c r="L95" i="4"/>
  <c r="M95" i="4"/>
  <c r="N95" i="4"/>
  <c r="O95" i="4"/>
  <c r="D95" i="4"/>
  <c r="G23" i="35" l="1"/>
  <c r="F23" i="35"/>
  <c r="E23" i="35" l="1"/>
  <c r="H12" i="39" l="1"/>
  <c r="N72" i="4" l="1"/>
  <c r="M84" i="4"/>
  <c r="L72" i="4"/>
  <c r="J84" i="4"/>
  <c r="J78" i="4"/>
  <c r="G72" i="4"/>
  <c r="F65" i="4"/>
  <c r="E78" i="4"/>
  <c r="E65" i="4"/>
  <c r="O65" i="4"/>
  <c r="O72" i="4"/>
  <c r="N78" i="4"/>
  <c r="O84" i="4"/>
  <c r="J72" i="4" l="1"/>
  <c r="E72" i="4"/>
  <c r="E84" i="4"/>
  <c r="F84" i="4"/>
  <c r="I72" i="4"/>
  <c r="I84" i="4"/>
  <c r="K65" i="4"/>
  <c r="M72" i="4"/>
  <c r="N65" i="4"/>
  <c r="N84" i="4"/>
  <c r="O78" i="4"/>
  <c r="O91" i="4" s="1"/>
  <c r="M65" i="4"/>
  <c r="F72" i="4"/>
  <c r="F78" i="4"/>
  <c r="H72" i="4"/>
  <c r="H84" i="4"/>
  <c r="I65" i="4"/>
  <c r="I78" i="4"/>
  <c r="G65" i="4"/>
  <c r="G84" i="4"/>
  <c r="H65" i="4"/>
  <c r="H78" i="4"/>
  <c r="K72" i="4"/>
  <c r="K78" i="4"/>
  <c r="K84" i="4"/>
  <c r="L65" i="4"/>
  <c r="L78" i="4"/>
  <c r="G78" i="4"/>
  <c r="J65" i="4"/>
  <c r="M78" i="4"/>
  <c r="L84" i="4"/>
  <c r="O31" i="4"/>
  <c r="M37" i="4"/>
  <c r="L43" i="4"/>
  <c r="K49" i="4"/>
  <c r="I24" i="4"/>
  <c r="H43" i="4"/>
  <c r="G49" i="4"/>
  <c r="G31" i="4"/>
  <c r="E49" i="4"/>
  <c r="M31" i="4"/>
  <c r="E91" i="4" l="1"/>
  <c r="N91" i="4"/>
  <c r="K91" i="4"/>
  <c r="J91" i="4"/>
  <c r="H91" i="4"/>
  <c r="F91" i="4"/>
  <c r="L91" i="4"/>
  <c r="M91" i="4"/>
  <c r="I91" i="4"/>
  <c r="G91" i="4"/>
  <c r="H31" i="4"/>
  <c r="H49" i="4"/>
  <c r="G24" i="4"/>
  <c r="L31" i="4"/>
  <c r="M24" i="4"/>
  <c r="N37" i="4"/>
  <c r="E31" i="4"/>
  <c r="F31" i="4"/>
  <c r="F49" i="4"/>
  <c r="G37" i="4"/>
  <c r="H24" i="4"/>
  <c r="H37" i="4"/>
  <c r="J31" i="4"/>
  <c r="L24" i="4"/>
  <c r="L37" i="4"/>
  <c r="L49" i="4"/>
  <c r="M43" i="4"/>
  <c r="N43" i="4"/>
  <c r="E37" i="4"/>
  <c r="I37" i="4"/>
  <c r="I43" i="4"/>
  <c r="J37" i="4"/>
  <c r="K31" i="4"/>
  <c r="O49" i="4"/>
  <c r="F24" i="4"/>
  <c r="F37" i="4"/>
  <c r="F43" i="4"/>
  <c r="J43" i="4"/>
  <c r="N24" i="4"/>
  <c r="N31" i="4"/>
  <c r="N49" i="4"/>
  <c r="E24" i="4"/>
  <c r="E43" i="4"/>
  <c r="G43" i="4"/>
  <c r="I31" i="4"/>
  <c r="I49" i="4"/>
  <c r="J49" i="4"/>
  <c r="K24" i="4"/>
  <c r="K37" i="4"/>
  <c r="K43" i="4"/>
  <c r="M49" i="4"/>
  <c r="O24" i="4"/>
  <c r="O43" i="4"/>
  <c r="F17" i="36"/>
  <c r="E54" i="4" l="1"/>
  <c r="F50" i="4"/>
  <c r="F54" i="4"/>
  <c r="M50" i="4"/>
  <c r="N50" i="4"/>
  <c r="I50" i="4"/>
  <c r="O50" i="4"/>
  <c r="K50" i="4"/>
  <c r="L50" i="4"/>
  <c r="H50" i="4"/>
  <c r="G50" i="4"/>
  <c r="J50" i="4"/>
  <c r="E50" i="4"/>
  <c r="B26" i="36"/>
  <c r="D16" i="41" l="1"/>
  <c r="E15" i="41" l="1"/>
  <c r="F15" i="41" l="1"/>
  <c r="G15" i="41" s="1"/>
  <c r="P85" i="4" l="1"/>
  <c r="P89" i="4"/>
  <c r="P86" i="4"/>
  <c r="P75" i="4"/>
  <c r="P76" i="4"/>
  <c r="P77" i="4"/>
  <c r="P67" i="4"/>
  <c r="P68" i="4"/>
  <c r="P70" i="4"/>
  <c r="P66" i="4"/>
  <c r="P73" i="4" l="1"/>
  <c r="P83" i="4"/>
  <c r="P69" i="4"/>
  <c r="P71" i="4"/>
  <c r="P82" i="4"/>
  <c r="P74" i="4"/>
  <c r="P88" i="4"/>
  <c r="P79" i="4"/>
  <c r="P80" i="4"/>
  <c r="P87" i="4"/>
  <c r="P81" i="4"/>
  <c r="P52" i="4"/>
  <c r="P51" i="4"/>
  <c r="D49" i="4"/>
  <c r="F41" i="36" l="1"/>
  <c r="F42" i="36"/>
  <c r="F43" i="36"/>
  <c r="F44" i="36"/>
  <c r="F45" i="36"/>
  <c r="F46" i="36"/>
  <c r="F47" i="36"/>
  <c r="F48" i="36"/>
  <c r="F49" i="36"/>
  <c r="F50" i="36"/>
  <c r="F51" i="36"/>
  <c r="F52" i="36"/>
  <c r="F12" i="41" l="1"/>
  <c r="G12" i="41" s="1"/>
  <c r="P48" i="4"/>
  <c r="P10" i="4"/>
  <c r="P11" i="4"/>
  <c r="D13" i="39" l="1"/>
  <c r="D12" i="39"/>
  <c r="P12" i="4" l="1"/>
  <c r="E19" i="39" l="1"/>
  <c r="F19" i="39"/>
  <c r="G19" i="39"/>
  <c r="H19" i="39"/>
  <c r="I19" i="39"/>
  <c r="J19" i="39"/>
  <c r="K19" i="39"/>
  <c r="L19" i="39"/>
  <c r="M19" i="39"/>
  <c r="N19" i="39"/>
  <c r="O19" i="39"/>
  <c r="E12" i="39"/>
  <c r="F12" i="39"/>
  <c r="G12" i="39"/>
  <c r="I12" i="39"/>
  <c r="J12" i="39"/>
  <c r="K12" i="39"/>
  <c r="L12" i="39"/>
  <c r="M12" i="39"/>
  <c r="N12" i="39"/>
  <c r="O12" i="39"/>
  <c r="E13" i="39"/>
  <c r="F13" i="39"/>
  <c r="G13" i="39"/>
  <c r="H13" i="39"/>
  <c r="I13" i="39"/>
  <c r="J13" i="39"/>
  <c r="K13" i="39"/>
  <c r="L13" i="39"/>
  <c r="M13" i="39"/>
  <c r="N13" i="39"/>
  <c r="O13" i="39"/>
  <c r="C19" i="13"/>
  <c r="C18" i="13"/>
  <c r="D123" i="4"/>
  <c r="E123" i="4"/>
  <c r="F123" i="4"/>
  <c r="G123" i="4"/>
  <c r="H123" i="4"/>
  <c r="I123" i="4"/>
  <c r="J123" i="4"/>
  <c r="K123" i="4"/>
  <c r="L123" i="4"/>
  <c r="M123" i="4"/>
  <c r="N123" i="4"/>
  <c r="O123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D126" i="4"/>
  <c r="E126" i="4"/>
  <c r="F126" i="4"/>
  <c r="G126" i="4"/>
  <c r="H126" i="4"/>
  <c r="I126" i="4"/>
  <c r="J126" i="4"/>
  <c r="K126" i="4"/>
  <c r="L126" i="4"/>
  <c r="M126" i="4"/>
  <c r="N126" i="4"/>
  <c r="O126" i="4"/>
  <c r="E122" i="4"/>
  <c r="F122" i="4"/>
  <c r="G122" i="4"/>
  <c r="H122" i="4"/>
  <c r="I122" i="4"/>
  <c r="J122" i="4"/>
  <c r="K122" i="4"/>
  <c r="L122" i="4"/>
  <c r="M122" i="4"/>
  <c r="N122" i="4"/>
  <c r="O122" i="4"/>
  <c r="D122" i="4"/>
  <c r="O120" i="4"/>
  <c r="N120" i="4"/>
  <c r="M120" i="4"/>
  <c r="O119" i="4"/>
  <c r="N119" i="4"/>
  <c r="M119" i="4"/>
  <c r="O118" i="4"/>
  <c r="N118" i="4"/>
  <c r="M118" i="4"/>
  <c r="O117" i="4"/>
  <c r="N117" i="4"/>
  <c r="M117" i="4"/>
  <c r="N116" i="4"/>
  <c r="O116" i="4"/>
  <c r="D117" i="4"/>
  <c r="E117" i="4"/>
  <c r="F117" i="4"/>
  <c r="G117" i="4"/>
  <c r="H117" i="4"/>
  <c r="I117" i="4"/>
  <c r="J117" i="4"/>
  <c r="K117" i="4"/>
  <c r="L117" i="4"/>
  <c r="D118" i="4"/>
  <c r="E118" i="4"/>
  <c r="F118" i="4"/>
  <c r="G118" i="4"/>
  <c r="H118" i="4"/>
  <c r="I118" i="4"/>
  <c r="J118" i="4"/>
  <c r="K118" i="4"/>
  <c r="L118" i="4"/>
  <c r="D119" i="4"/>
  <c r="E119" i="4"/>
  <c r="F119" i="4"/>
  <c r="G119" i="4"/>
  <c r="H119" i="4"/>
  <c r="I119" i="4"/>
  <c r="J119" i="4"/>
  <c r="K119" i="4"/>
  <c r="L119" i="4"/>
  <c r="D120" i="4"/>
  <c r="E120" i="4"/>
  <c r="F120" i="4"/>
  <c r="G120" i="4"/>
  <c r="H120" i="4"/>
  <c r="I120" i="4"/>
  <c r="J120" i="4"/>
  <c r="K120" i="4"/>
  <c r="L120" i="4"/>
  <c r="D116" i="4"/>
  <c r="D110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E110" i="4"/>
  <c r="F110" i="4"/>
  <c r="G110" i="4"/>
  <c r="H110" i="4"/>
  <c r="I110" i="4"/>
  <c r="J110" i="4"/>
  <c r="K110" i="4"/>
  <c r="L110" i="4"/>
  <c r="M110" i="4"/>
  <c r="N110" i="4"/>
  <c r="O110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D106" i="4"/>
  <c r="E106" i="4"/>
  <c r="F106" i="4"/>
  <c r="G106" i="4"/>
  <c r="H106" i="4"/>
  <c r="I106" i="4"/>
  <c r="J106" i="4"/>
  <c r="K106" i="4"/>
  <c r="L106" i="4"/>
  <c r="M106" i="4"/>
  <c r="N106" i="4"/>
  <c r="O106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E103" i="4"/>
  <c r="F103" i="4"/>
  <c r="G103" i="4"/>
  <c r="H103" i="4"/>
  <c r="I103" i="4"/>
  <c r="J103" i="4"/>
  <c r="K103" i="4"/>
  <c r="L103" i="4"/>
  <c r="M103" i="4"/>
  <c r="N103" i="4"/>
  <c r="O103" i="4"/>
  <c r="D103" i="4"/>
  <c r="E97" i="4"/>
  <c r="F97" i="4"/>
  <c r="G97" i="4"/>
  <c r="H97" i="4"/>
  <c r="I97" i="4"/>
  <c r="J97" i="4"/>
  <c r="K97" i="4"/>
  <c r="L97" i="4"/>
  <c r="M97" i="4"/>
  <c r="N97" i="4"/>
  <c r="O97" i="4"/>
  <c r="E98" i="4"/>
  <c r="F98" i="4"/>
  <c r="G98" i="4"/>
  <c r="H98" i="4"/>
  <c r="I98" i="4"/>
  <c r="J98" i="4"/>
  <c r="K98" i="4"/>
  <c r="L98" i="4"/>
  <c r="M98" i="4"/>
  <c r="N98" i="4"/>
  <c r="O98" i="4"/>
  <c r="E99" i="4"/>
  <c r="F99" i="4"/>
  <c r="G99" i="4"/>
  <c r="H99" i="4"/>
  <c r="I99" i="4"/>
  <c r="J99" i="4"/>
  <c r="K99" i="4"/>
  <c r="L99" i="4"/>
  <c r="M99" i="4"/>
  <c r="N99" i="4"/>
  <c r="O99" i="4"/>
  <c r="E100" i="4"/>
  <c r="F100" i="4"/>
  <c r="G100" i="4"/>
  <c r="H100" i="4"/>
  <c r="I100" i="4"/>
  <c r="J100" i="4"/>
  <c r="K100" i="4"/>
  <c r="L100" i="4"/>
  <c r="M100" i="4"/>
  <c r="N100" i="4"/>
  <c r="O100" i="4"/>
  <c r="E101" i="4"/>
  <c r="F101" i="4"/>
  <c r="G101" i="4"/>
  <c r="H101" i="4"/>
  <c r="I101" i="4"/>
  <c r="J101" i="4"/>
  <c r="K101" i="4"/>
  <c r="L101" i="4"/>
  <c r="M101" i="4"/>
  <c r="N101" i="4"/>
  <c r="O101" i="4"/>
  <c r="N96" i="4"/>
  <c r="E96" i="4"/>
  <c r="F96" i="4"/>
  <c r="G96" i="4"/>
  <c r="H96" i="4"/>
  <c r="I96" i="4"/>
  <c r="J96" i="4"/>
  <c r="K96" i="4"/>
  <c r="L96" i="4"/>
  <c r="M96" i="4"/>
  <c r="O96" i="4"/>
  <c r="D97" i="4"/>
  <c r="D98" i="4"/>
  <c r="D99" i="4"/>
  <c r="D100" i="4"/>
  <c r="D101" i="4"/>
  <c r="D96" i="4"/>
  <c r="P47" i="4"/>
  <c r="P46" i="4"/>
  <c r="P45" i="4"/>
  <c r="P44" i="4"/>
  <c r="P39" i="4"/>
  <c r="P40" i="4"/>
  <c r="P41" i="4"/>
  <c r="P42" i="4"/>
  <c r="P38" i="4"/>
  <c r="P32" i="4"/>
  <c r="P33" i="4"/>
  <c r="P34" i="4"/>
  <c r="P35" i="4"/>
  <c r="P36" i="4"/>
  <c r="P30" i="4"/>
  <c r="D43" i="4"/>
  <c r="P26" i="4"/>
  <c r="P27" i="4"/>
  <c r="P28" i="4"/>
  <c r="P29" i="4"/>
  <c r="P25" i="4"/>
  <c r="P19" i="4"/>
  <c r="P20" i="4"/>
  <c r="P21" i="4"/>
  <c r="P22" i="4"/>
  <c r="P23" i="4"/>
  <c r="P18" i="4"/>
  <c r="D24" i="4"/>
  <c r="N16" i="39" l="1"/>
  <c r="J14" i="39"/>
  <c r="I14" i="39"/>
  <c r="P11" i="39"/>
  <c r="O127" i="4"/>
  <c r="M54" i="4"/>
  <c r="O54" i="4"/>
  <c r="N54" i="4"/>
  <c r="O16" i="39"/>
  <c r="N127" i="4"/>
  <c r="O102" i="4"/>
  <c r="M127" i="4"/>
  <c r="P43" i="4"/>
  <c r="C20" i="13"/>
  <c r="L14" i="39"/>
  <c r="H14" i="39"/>
  <c r="O14" i="39"/>
  <c r="G14" i="39"/>
  <c r="M14" i="39"/>
  <c r="N115" i="4"/>
  <c r="E14" i="39"/>
  <c r="K14" i="39"/>
  <c r="N14" i="39"/>
  <c r="F14" i="39"/>
  <c r="P13" i="39" s="1"/>
  <c r="O121" i="4"/>
  <c r="N102" i="4"/>
  <c r="N121" i="4"/>
  <c r="O115" i="4"/>
  <c r="M102" i="4"/>
  <c r="P24" i="4"/>
  <c r="O109" i="4"/>
  <c r="N109" i="4"/>
  <c r="N129" i="4" l="1"/>
  <c r="E38" i="39" s="1"/>
  <c r="O129" i="4"/>
  <c r="N128" i="4"/>
  <c r="O128" i="4"/>
  <c r="P14" i="39"/>
  <c r="N15" i="39"/>
  <c r="N17" i="39" s="1"/>
  <c r="N18" i="39" s="1"/>
  <c r="M15" i="39"/>
  <c r="O15" i="39"/>
  <c r="O17" i="39" s="1"/>
  <c r="O18" i="39" s="1"/>
  <c r="O21" i="39" s="1"/>
  <c r="O20" i="39" l="1"/>
  <c r="N20" i="39"/>
  <c r="E39" i="39"/>
  <c r="N22" i="39"/>
  <c r="O22" i="39"/>
  <c r="N21" i="39" l="1"/>
  <c r="N23" i="39" s="1"/>
  <c r="C38" i="39" s="1"/>
  <c r="O23" i="39"/>
  <c r="C39" i="39" s="1"/>
  <c r="E12" i="4" l="1"/>
  <c r="F12" i="4"/>
  <c r="G12" i="4"/>
  <c r="H12" i="4"/>
  <c r="I12" i="4"/>
  <c r="J12" i="4"/>
  <c r="K12" i="4"/>
  <c r="L12" i="4"/>
  <c r="M12" i="4"/>
  <c r="N12" i="4"/>
  <c r="O12" i="4"/>
  <c r="D12" i="4"/>
  <c r="F11" i="41"/>
  <c r="G11" i="41" s="1"/>
  <c r="F13" i="41" l="1"/>
  <c r="G13" i="41" s="1"/>
  <c r="F14" i="41"/>
  <c r="G14" i="41" s="1"/>
  <c r="E12" i="41"/>
  <c r="E13" i="41"/>
  <c r="E14" i="41"/>
  <c r="G17" i="41" l="1"/>
  <c r="C21" i="41" s="1"/>
  <c r="C23" i="41" s="1"/>
  <c r="C27" i="41" s="1"/>
  <c r="E18" i="41"/>
  <c r="G16" i="41"/>
  <c r="E16" i="41"/>
  <c r="C10" i="39" l="1"/>
  <c r="F67" i="36" l="1"/>
  <c r="F66" i="36"/>
  <c r="F65" i="36"/>
  <c r="F64" i="36"/>
  <c r="F63" i="36"/>
  <c r="F62" i="36"/>
  <c r="F61" i="36"/>
  <c r="F60" i="36"/>
  <c r="F59" i="36"/>
  <c r="F58" i="36"/>
  <c r="F57" i="36"/>
  <c r="F56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D26" i="36"/>
  <c r="D41" i="36" s="1"/>
  <c r="D56" i="36" s="1"/>
  <c r="B41" i="36"/>
  <c r="B56" i="36" s="1"/>
  <c r="F22" i="36"/>
  <c r="F21" i="36"/>
  <c r="F20" i="36"/>
  <c r="F19" i="36"/>
  <c r="F18" i="36"/>
  <c r="F16" i="36"/>
  <c r="F15" i="36"/>
  <c r="F14" i="36"/>
  <c r="F13" i="36"/>
  <c r="F12" i="36"/>
  <c r="D12" i="36"/>
  <c r="D13" i="36" s="1"/>
  <c r="D14" i="36" s="1"/>
  <c r="D15" i="36" s="1"/>
  <c r="D16" i="36" s="1"/>
  <c r="D17" i="36" s="1"/>
  <c r="D18" i="36" s="1"/>
  <c r="D19" i="36" s="1"/>
  <c r="D20" i="36" s="1"/>
  <c r="D21" i="36" s="1"/>
  <c r="D22" i="36" s="1"/>
  <c r="D37" i="36" s="1"/>
  <c r="D52" i="36" s="1"/>
  <c r="D67" i="36" s="1"/>
  <c r="B37" i="36"/>
  <c r="B52" i="36" s="1"/>
  <c r="B67" i="36" s="1"/>
  <c r="M11" i="36" l="1"/>
  <c r="M13" i="36" s="1"/>
  <c r="L11" i="36"/>
  <c r="L13" i="36" s="1"/>
  <c r="N11" i="36"/>
  <c r="N13" i="36" s="1"/>
  <c r="B28" i="36"/>
  <c r="B43" i="36" s="1"/>
  <c r="B58" i="36" s="1"/>
  <c r="B29" i="36"/>
  <c r="B44" i="36" s="1"/>
  <c r="B59" i="36" s="1"/>
  <c r="B33" i="36"/>
  <c r="B48" i="36" s="1"/>
  <c r="B63" i="36" s="1"/>
  <c r="B32" i="36"/>
  <c r="B47" i="36" s="1"/>
  <c r="B62" i="36" s="1"/>
  <c r="B30" i="36"/>
  <c r="B45" i="36" s="1"/>
  <c r="B60" i="36" s="1"/>
  <c r="B34" i="36"/>
  <c r="B49" i="36" s="1"/>
  <c r="B64" i="36" s="1"/>
  <c r="D31" i="36"/>
  <c r="D46" i="36" s="1"/>
  <c r="D61" i="36" s="1"/>
  <c r="D29" i="36"/>
  <c r="D44" i="36" s="1"/>
  <c r="D59" i="36" s="1"/>
  <c r="B27" i="36"/>
  <c r="B42" i="36" s="1"/>
  <c r="B57" i="36" s="1"/>
  <c r="D32" i="36"/>
  <c r="D47" i="36" s="1"/>
  <c r="D62" i="36" s="1"/>
  <c r="B35" i="36"/>
  <c r="B50" i="36" s="1"/>
  <c r="B65" i="36" s="1"/>
  <c r="D27" i="36"/>
  <c r="D42" i="36" s="1"/>
  <c r="D57" i="36" s="1"/>
  <c r="D35" i="36"/>
  <c r="D50" i="36" s="1"/>
  <c r="D65" i="36" s="1"/>
  <c r="D30" i="36"/>
  <c r="D45" i="36" s="1"/>
  <c r="D60" i="36" s="1"/>
  <c r="D33" i="36"/>
  <c r="D48" i="36" s="1"/>
  <c r="D63" i="36" s="1"/>
  <c r="B36" i="36"/>
  <c r="B51" i="36" s="1"/>
  <c r="B66" i="36" s="1"/>
  <c r="D28" i="36"/>
  <c r="D43" i="36" s="1"/>
  <c r="D58" i="36" s="1"/>
  <c r="B31" i="36"/>
  <c r="B46" i="36" s="1"/>
  <c r="B61" i="36" s="1"/>
  <c r="D36" i="36"/>
  <c r="D51" i="36" s="1"/>
  <c r="D66" i="36" s="1"/>
  <c r="D34" i="36"/>
  <c r="D49" i="36" s="1"/>
  <c r="D64" i="36" s="1"/>
  <c r="B11" i="35" l="1"/>
  <c r="B12" i="35" s="1"/>
  <c r="B13" i="35" s="1"/>
  <c r="B14" i="35" s="1"/>
  <c r="B15" i="35" s="1"/>
  <c r="B16" i="35" s="1"/>
  <c r="B17" i="35" s="1"/>
  <c r="B18" i="35" s="1"/>
  <c r="B19" i="35" s="1"/>
  <c r="B20" i="35" s="1"/>
  <c r="B21" i="35" s="1"/>
  <c r="B22" i="35" s="1"/>
  <c r="D84" i="4" l="1"/>
  <c r="D78" i="4"/>
  <c r="D72" i="4"/>
  <c r="D65" i="4"/>
  <c r="D91" i="4" s="1"/>
  <c r="M116" i="4"/>
  <c r="L116" i="4"/>
  <c r="K116" i="4"/>
  <c r="J116" i="4"/>
  <c r="J121" i="4" s="1"/>
  <c r="I116" i="4"/>
  <c r="H116" i="4"/>
  <c r="G116" i="4"/>
  <c r="F116" i="4"/>
  <c r="E116" i="4"/>
  <c r="F16" i="39"/>
  <c r="P64" i="4"/>
  <c r="P63" i="4"/>
  <c r="P62" i="4"/>
  <c r="P60" i="4"/>
  <c r="P59" i="4"/>
  <c r="O58" i="4"/>
  <c r="N58" i="4"/>
  <c r="M58" i="4"/>
  <c r="L58" i="4"/>
  <c r="K58" i="4"/>
  <c r="J58" i="4"/>
  <c r="I58" i="4"/>
  <c r="H58" i="4"/>
  <c r="G58" i="4"/>
  <c r="F58" i="4"/>
  <c r="E58" i="4"/>
  <c r="D58" i="4"/>
  <c r="J54" i="4"/>
  <c r="D37" i="4"/>
  <c r="P37" i="4" s="1"/>
  <c r="D31" i="4"/>
  <c r="G54" i="4" l="1"/>
  <c r="K54" i="4"/>
  <c r="E15" i="39"/>
  <c r="G16" i="39"/>
  <c r="I16" i="39"/>
  <c r="L54" i="4"/>
  <c r="L15" i="39" s="1"/>
  <c r="I54" i="4"/>
  <c r="I15" i="39" s="1"/>
  <c r="H54" i="4"/>
  <c r="H15" i="39" s="1"/>
  <c r="L16" i="39"/>
  <c r="K16" i="39"/>
  <c r="J16" i="39"/>
  <c r="H16" i="39"/>
  <c r="P78" i="4"/>
  <c r="E16" i="39"/>
  <c r="P90" i="4"/>
  <c r="G15" i="39"/>
  <c r="K15" i="39"/>
  <c r="P49" i="4"/>
  <c r="J15" i="39"/>
  <c r="P72" i="4"/>
  <c r="P84" i="4"/>
  <c r="P65" i="4"/>
  <c r="P61" i="4"/>
  <c r="F15" i="39"/>
  <c r="P53" i="4"/>
  <c r="P31" i="4"/>
  <c r="M115" i="4"/>
  <c r="E109" i="4"/>
  <c r="L102" i="4"/>
  <c r="K115" i="4"/>
  <c r="J102" i="4"/>
  <c r="D127" i="4"/>
  <c r="F102" i="4"/>
  <c r="F127" i="4"/>
  <c r="P104" i="4"/>
  <c r="I121" i="4"/>
  <c r="G127" i="4"/>
  <c r="E102" i="4"/>
  <c r="J109" i="4"/>
  <c r="F115" i="4"/>
  <c r="K121" i="4"/>
  <c r="D121" i="4"/>
  <c r="P114" i="4"/>
  <c r="E121" i="4"/>
  <c r="M121" i="4"/>
  <c r="I102" i="4"/>
  <c r="J115" i="4"/>
  <c r="P100" i="4"/>
  <c r="H102" i="4"/>
  <c r="P106" i="4"/>
  <c r="P112" i="4"/>
  <c r="I115" i="4"/>
  <c r="E115" i="4"/>
  <c r="P126" i="4"/>
  <c r="P103" i="4"/>
  <c r="H109" i="4"/>
  <c r="K109" i="4"/>
  <c r="P110" i="4"/>
  <c r="H115" i="4"/>
  <c r="P113" i="4"/>
  <c r="G115" i="4"/>
  <c r="I127" i="4"/>
  <c r="J127" i="4"/>
  <c r="P108" i="4"/>
  <c r="K102" i="4"/>
  <c r="F121" i="4"/>
  <c r="P101" i="4"/>
  <c r="P99" i="4"/>
  <c r="P97" i="4"/>
  <c r="P107" i="4"/>
  <c r="G121" i="4"/>
  <c r="K127" i="4"/>
  <c r="H121" i="4"/>
  <c r="L121" i="4"/>
  <c r="L127" i="4"/>
  <c r="H127" i="4"/>
  <c r="P96" i="4"/>
  <c r="G109" i="4"/>
  <c r="P105" i="4" s="1"/>
  <c r="L115" i="4"/>
  <c r="P111" i="4" s="1"/>
  <c r="E127" i="4"/>
  <c r="P123" i="4" s="1"/>
  <c r="G102" i="4"/>
  <c r="D109" i="4"/>
  <c r="L109" i="4"/>
  <c r="D115" i="4"/>
  <c r="P122" i="4"/>
  <c r="I109" i="4"/>
  <c r="P116" i="4"/>
  <c r="P118" i="4"/>
  <c r="P120" i="4"/>
  <c r="D102" i="4"/>
  <c r="P117" i="4"/>
  <c r="P119" i="4"/>
  <c r="M109" i="4"/>
  <c r="F109" i="4"/>
  <c r="D50" i="4"/>
  <c r="I17" i="39" l="1"/>
  <c r="I18" i="39" s="1"/>
  <c r="H17" i="39"/>
  <c r="H18" i="39" s="1"/>
  <c r="H21" i="39" s="1"/>
  <c r="J17" i="39"/>
  <c r="J18" i="39" s="1"/>
  <c r="K17" i="39"/>
  <c r="K18" i="39" s="1"/>
  <c r="G17" i="39"/>
  <c r="G18" i="39" s="1"/>
  <c r="C12" i="13"/>
  <c r="E17" i="39"/>
  <c r="E18" i="39" s="1"/>
  <c r="M128" i="4"/>
  <c r="P50" i="4"/>
  <c r="L17" i="39"/>
  <c r="L18" i="39" s="1"/>
  <c r="F17" i="39"/>
  <c r="F18" i="39" s="1"/>
  <c r="M16" i="39"/>
  <c r="M17" i="39" s="1"/>
  <c r="M129" i="4"/>
  <c r="D16" i="39"/>
  <c r="D15" i="39"/>
  <c r="P54" i="4"/>
  <c r="K128" i="4"/>
  <c r="G128" i="4"/>
  <c r="I128" i="4"/>
  <c r="L128" i="4"/>
  <c r="P98" i="4"/>
  <c r="J128" i="4"/>
  <c r="D129" i="4"/>
  <c r="E129" i="4"/>
  <c r="G129" i="4"/>
  <c r="J129" i="4"/>
  <c r="E128" i="4"/>
  <c r="P121" i="4"/>
  <c r="P115" i="4"/>
  <c r="K129" i="4"/>
  <c r="L129" i="4"/>
  <c r="H128" i="4"/>
  <c r="H129" i="4"/>
  <c r="F128" i="4"/>
  <c r="D128" i="4"/>
  <c r="P102" i="4"/>
  <c r="P109" i="4"/>
  <c r="F129" i="4"/>
  <c r="I129" i="4"/>
  <c r="H20" i="39" l="1"/>
  <c r="E33" i="39"/>
  <c r="E30" i="39"/>
  <c r="E32" i="39"/>
  <c r="E36" i="39"/>
  <c r="E35" i="39"/>
  <c r="E34" i="39"/>
  <c r="E31" i="39"/>
  <c r="E37" i="39"/>
  <c r="F22" i="39"/>
  <c r="L22" i="39"/>
  <c r="E21" i="39"/>
  <c r="G22" i="39"/>
  <c r="K22" i="39"/>
  <c r="J22" i="39"/>
  <c r="H22" i="39"/>
  <c r="H23" i="39" s="1"/>
  <c r="I22" i="39"/>
  <c r="P15" i="39"/>
  <c r="D17" i="39"/>
  <c r="J20" i="39"/>
  <c r="J21" i="39"/>
  <c r="K20" i="39"/>
  <c r="K21" i="39"/>
  <c r="K23" i="39" s="1"/>
  <c r="C35" i="39" s="1"/>
  <c r="E20" i="39"/>
  <c r="P19" i="39" s="1"/>
  <c r="E22" i="39"/>
  <c r="G20" i="39"/>
  <c r="P16" i="39"/>
  <c r="G21" i="39"/>
  <c r="L20" i="39"/>
  <c r="L21" i="39"/>
  <c r="C13" i="13"/>
  <c r="F15" i="15" s="1"/>
  <c r="F20" i="39"/>
  <c r="F21" i="39"/>
  <c r="M18" i="39"/>
  <c r="I21" i="39"/>
  <c r="I20" i="39"/>
  <c r="E29" i="39"/>
  <c r="P128" i="4"/>
  <c r="P124" i="4"/>
  <c r="P125" i="4"/>
  <c r="C11" i="13"/>
  <c r="P127" i="4"/>
  <c r="E21" i="15" l="1"/>
  <c r="E22" i="15"/>
  <c r="I23" i="39"/>
  <c r="F23" i="39"/>
  <c r="E23" i="39"/>
  <c r="C14" i="13"/>
  <c r="L23" i="39"/>
  <c r="C36" i="39" s="1"/>
  <c r="E40" i="39"/>
  <c r="J23" i="39"/>
  <c r="C34" i="39" s="1"/>
  <c r="G23" i="39"/>
  <c r="C31" i="39" s="1"/>
  <c r="M22" i="39"/>
  <c r="L21" i="36"/>
  <c r="L22" i="36" s="1"/>
  <c r="P17" i="39"/>
  <c r="P18" i="39" s="1"/>
  <c r="M21" i="39"/>
  <c r="M20" i="39"/>
  <c r="D29" i="47" l="1"/>
  <c r="D26" i="47"/>
  <c r="D23" i="47"/>
  <c r="D20" i="47"/>
  <c r="D15" i="47"/>
  <c r="C15" i="13"/>
  <c r="P22" i="39"/>
  <c r="M23" i="39"/>
  <c r="C37" i="39" s="1"/>
  <c r="C25" i="13" l="1"/>
  <c r="D14" i="39"/>
  <c r="P20" i="39" l="1"/>
  <c r="C21" i="13" s="1"/>
  <c r="P21" i="39" l="1"/>
  <c r="P23" i="39" s="1"/>
  <c r="C22" i="13"/>
  <c r="C26" i="13" l="1"/>
  <c r="G32" i="39" l="1"/>
  <c r="G36" i="39"/>
  <c r="G30" i="39"/>
  <c r="G38" i="39"/>
  <c r="G31" i="39"/>
  <c r="G35" i="39"/>
  <c r="G39" i="39"/>
  <c r="G33" i="39"/>
  <c r="G37" i="39"/>
  <c r="G34" i="39"/>
  <c r="D34" i="13" l="1"/>
  <c r="F10" i="15"/>
  <c r="E20" i="15" s="1"/>
  <c r="G29" i="39"/>
  <c r="D40" i="39"/>
  <c r="M15" i="36"/>
  <c r="N15" i="36"/>
  <c r="L15" i="36"/>
  <c r="G40" i="39" l="1"/>
  <c r="P31" i="39" l="1"/>
  <c r="F13" i="15" l="1"/>
  <c r="G34" i="46"/>
  <c r="E23" i="15" l="1"/>
  <c r="E24" i="15" s="1"/>
  <c r="F14" i="15"/>
  <c r="E37" i="44" l="1"/>
  <c r="K13" i="44" s="1"/>
  <c r="D25" i="15"/>
  <c r="J30" i="44"/>
  <c r="J19" i="44"/>
  <c r="K27" i="44"/>
  <c r="K29" i="44"/>
  <c r="K28" i="44"/>
  <c r="K34" i="44"/>
  <c r="K17" i="44"/>
  <c r="K31" i="44"/>
  <c r="K20" i="44"/>
  <c r="K21" i="44"/>
  <c r="K32" i="44"/>
  <c r="K23" i="44"/>
  <c r="K19" i="44"/>
  <c r="K30" i="44"/>
  <c r="K18" i="44"/>
  <c r="K14" i="44"/>
  <c r="K16" i="44"/>
  <c r="K24" i="44"/>
  <c r="K25" i="44"/>
  <c r="K22" i="44"/>
  <c r="J25" i="44"/>
  <c r="K26" i="44"/>
  <c r="K33" i="44"/>
  <c r="K15" i="44"/>
  <c r="J13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 PORTAL</author>
  </authors>
  <commentList>
    <comment ref="B14" authorId="0" shapeId="0" xr:uid="{00000000-0006-0000-0200-000001000000}">
      <text>
        <r>
          <rPr>
            <b/>
            <sz val="9"/>
            <color indexed="81"/>
            <rFont val="Calibri"/>
            <family val="2"/>
          </rPr>
          <t xml:space="preserve">Bes é igual ao benefício econômico de saneamento, calculado com base no volume faturado de água e esgotos e na tarifa média praticada, levando-se em conta os dados de cada mês;
Vf é igual ao somatório dos volumes faturados de água e de esgotos, expressos em metros cúbicos; e,
Tm é a tarifa média, expressa em reais, obtida pela divisão da Receita Operacional Direta – ROD, que é a receita obtida com o faturamento mensal de água e esgoto, pelo volume total de água e esgoto faturado no mesmo mês.
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B21" authorId="0" shapeId="0" xr:uid="{00000000-0006-0000-0200-000002000000}">
      <text>
        <r>
          <rPr>
            <b/>
            <sz val="9"/>
            <color indexed="81"/>
            <rFont val="Calibri"/>
            <family val="2"/>
          </rPr>
          <t xml:space="preserve">Beu(a) é o benefício econômico de uso auferido pelos prestadores de serviços públicos, calculado pela multiplicação do somatório dos volumes produzidos de água e de coleta de esgoto sanitário, pela tarifa média praticada, levando-se em consideração os dados de cada mês;
Vp é igual ao somatório dos volumes produzidos de água e de coleta de esgotos sanitários, expressos em metros cúbicos; e
Tm é a tarifa média, expressa em reais, obtida na forma prevista no art. 2º, § 2º, desta Lei Complementar.
</t>
        </r>
        <r>
          <rPr>
            <sz val="9"/>
            <color indexed="81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<sst xmlns="http://schemas.openxmlformats.org/spreadsheetml/2006/main" count="602" uniqueCount="354">
  <si>
    <t>Parâmetros</t>
  </si>
  <si>
    <t>Data</t>
  </si>
  <si>
    <t>Data do Reajuste</t>
    <phoneticPr fontId="0" type="noConversion"/>
  </si>
  <si>
    <t>01/06/2025</t>
  </si>
  <si>
    <t>Vigência das Tarifas pós RTA-2025</t>
  </si>
  <si>
    <t>01/06/2025 a 31/05/2026</t>
  </si>
  <si>
    <t xml:space="preserve">DRA: Data  de Referência Anterior </t>
    <phoneticPr fontId="0" type="noConversion"/>
  </si>
  <si>
    <t>01/06/2024</t>
  </si>
  <si>
    <t xml:space="preserve">DRP: Data de Reajuste em Processamento </t>
    <phoneticPr fontId="0" type="noConversion"/>
  </si>
  <si>
    <t>Período de Referência (parcela A + parcela B): 12 meses</t>
  </si>
  <si>
    <t>jan/2024 a dez/2024</t>
  </si>
  <si>
    <t>Mercado de Referência (parcela A + parcela B): Volume de Água e de Esgoto</t>
  </si>
  <si>
    <t>Período de Referência (Bônus-Desconto): 12 meses</t>
  </si>
  <si>
    <t>jan/2023 a dez/2023</t>
  </si>
  <si>
    <t>Período de Apuração (Bônus-Desconto): 12 meses</t>
  </si>
  <si>
    <t>Índices de inflação</t>
  </si>
  <si>
    <t>Meses</t>
    <phoneticPr fontId="0" type="noConversion"/>
  </si>
  <si>
    <t>INPC</t>
    <phoneticPr fontId="0" type="noConversion"/>
  </si>
  <si>
    <t>IPCA</t>
    <phoneticPr fontId="0" type="noConversion"/>
  </si>
  <si>
    <t>IGP-M</t>
  </si>
  <si>
    <t>Índice Acumulado (%)</t>
  </si>
  <si>
    <t>Fonte: www.ipeadata.gov.br</t>
  </si>
  <si>
    <t>Meses</t>
  </si>
  <si>
    <t>Total (R$)</t>
  </si>
  <si>
    <t>Fonte: CAESB</t>
  </si>
  <si>
    <t>Variação nos custos de energia elétrica (Δenergia)</t>
  </si>
  <si>
    <t>Descrição</t>
  </si>
  <si>
    <t>Custo de Energia (R$)</t>
    <phoneticPr fontId="0" type="noConversion"/>
  </si>
  <si>
    <t>Consumo (MWh)</t>
    <phoneticPr fontId="0" type="noConversion"/>
  </si>
  <si>
    <t>R$/MWh</t>
  </si>
  <si>
    <t>Período de Referência</t>
  </si>
  <si>
    <t>Período de Referência Anterior</t>
  </si>
  <si>
    <t>Δenergia</t>
  </si>
  <si>
    <t>Apuração do Bônus-desconto para o Reajuste 2025</t>
  </si>
  <si>
    <t>Categoria Residencial Normal</t>
  </si>
  <si>
    <t>Quadro Resumo - Bônus-Desconto</t>
  </si>
  <si>
    <t xml:space="preserve"> Período de Referência (A) </t>
  </si>
  <si>
    <t xml:space="preserve">Consumo (m³) </t>
  </si>
  <si>
    <t xml:space="preserve">Período de Apuração (B) </t>
  </si>
  <si>
    <t>Economia em m³</t>
  </si>
  <si>
    <t>Residencial Normal</t>
  </si>
  <si>
    <t>Residencial Popular</t>
  </si>
  <si>
    <t>Comercial</t>
  </si>
  <si>
    <t>Industrial</t>
  </si>
  <si>
    <t xml:space="preserve">Economia (m³)  </t>
  </si>
  <si>
    <t xml:space="preserve">Bônus Desconto (%) -  Lei 4.341/09 </t>
  </si>
  <si>
    <t>Base de Cálculo (m³)</t>
  </si>
  <si>
    <t>Tarifa Inicial (R$)*</t>
  </si>
  <si>
    <t>Bônus-desconto (R$)</t>
  </si>
  <si>
    <t>Bônus-desconto total</t>
  </si>
  <si>
    <t>*Tarifas vigentes em jun/2024 de acordo com a Resolução nº 36/2024 - ADASA de 26 de abril de 2024</t>
  </si>
  <si>
    <t>Valor do Bônus-Desconto (R$) - Parcela A</t>
  </si>
  <si>
    <r>
      <t>VPA-BD</t>
    </r>
    <r>
      <rPr>
        <vertAlign val="subscript"/>
        <sz val="11"/>
        <rFont val="Calibri"/>
        <family val="2"/>
        <scheme val="minor"/>
      </rPr>
      <t>DRP</t>
    </r>
  </si>
  <si>
    <t>Mercado de Referência (m³) - jan a dez/2024</t>
  </si>
  <si>
    <t>MR (m³)</t>
  </si>
  <si>
    <t>Tarifa Bônus-desconto (R$/m³)</t>
  </si>
  <si>
    <r>
      <t>TA-BD</t>
    </r>
    <r>
      <rPr>
        <b/>
        <vertAlign val="subscript"/>
        <sz val="11"/>
        <color theme="0"/>
        <rFont val="Calibri"/>
        <family val="2"/>
        <scheme val="minor"/>
      </rPr>
      <t>DRP</t>
    </r>
    <r>
      <rPr>
        <b/>
        <sz val="11"/>
        <color theme="0"/>
        <rFont val="Calibri"/>
        <family val="2"/>
        <scheme val="minor"/>
      </rPr>
      <t xml:space="preserve"> = VPA-BD</t>
    </r>
    <r>
      <rPr>
        <b/>
        <vertAlign val="subscript"/>
        <sz val="11"/>
        <color theme="0"/>
        <rFont val="Calibri"/>
        <family val="2"/>
        <scheme val="minor"/>
      </rPr>
      <t>DRP</t>
    </r>
    <r>
      <rPr>
        <b/>
        <sz val="11"/>
        <color theme="0"/>
        <rFont val="Calibri"/>
        <family val="2"/>
        <scheme val="minor"/>
      </rPr>
      <t xml:space="preserve">/MR </t>
    </r>
  </si>
  <si>
    <t>Categoria Residencial Social</t>
  </si>
  <si>
    <t>Categoria Comercial</t>
  </si>
  <si>
    <t>Categoria Industrial</t>
  </si>
  <si>
    <r>
      <t>Volume de Água Produzida e de Esgoto Coletado pela CAESB (m</t>
    </r>
    <r>
      <rPr>
        <b/>
        <vertAlign val="superscript"/>
        <sz val="12"/>
        <color indexed="9"/>
        <rFont val="Calibri"/>
        <family val="2"/>
        <scheme val="minor"/>
      </rPr>
      <t>3</t>
    </r>
    <r>
      <rPr>
        <b/>
        <sz val="12"/>
        <color indexed="9"/>
        <rFont val="Calibri"/>
        <family val="2"/>
        <scheme val="minor"/>
      </rPr>
      <t>)</t>
    </r>
  </si>
  <si>
    <t>Total</t>
    <phoneticPr fontId="1" type="noConversion"/>
  </si>
  <si>
    <t>Volume de Água Produzida</t>
    <phoneticPr fontId="1" type="noConversion"/>
  </si>
  <si>
    <t>Volume de Esgoto Coletado</t>
    <phoneticPr fontId="1" type="noConversion"/>
  </si>
  <si>
    <t>Total</t>
  </si>
  <si>
    <r>
      <t>I - Volume Faturado de Água (m</t>
    </r>
    <r>
      <rPr>
        <b/>
        <vertAlign val="superscript"/>
        <sz val="12"/>
        <color indexed="9"/>
        <rFont val="Calibri"/>
        <family val="2"/>
        <scheme val="minor"/>
      </rPr>
      <t>3</t>
    </r>
    <r>
      <rPr>
        <b/>
        <sz val="12"/>
        <color indexed="9"/>
        <rFont val="Calibri"/>
        <family val="2"/>
        <scheme val="minor"/>
      </rPr>
      <t>)</t>
    </r>
  </si>
  <si>
    <t>Categoria</t>
  </si>
  <si>
    <t>Faixa</t>
  </si>
  <si>
    <t>Residencial Padrão</t>
  </si>
  <si>
    <t>0 a 7</t>
  </si>
  <si>
    <t>8 a 13</t>
  </si>
  <si>
    <t>14 a 20</t>
  </si>
  <si>
    <t>21 a 30</t>
  </si>
  <si>
    <t>31 a 45</t>
  </si>
  <si>
    <t>&gt; 45</t>
  </si>
  <si>
    <t>Sub-total</t>
  </si>
  <si>
    <t>Residencial Social</t>
  </si>
  <si>
    <t>0 a 4</t>
  </si>
  <si>
    <t>5 a 7</t>
  </si>
  <si>
    <t>8 a 10</t>
  </si>
  <si>
    <t>11 a 40</t>
  </si>
  <si>
    <t>&gt; 40</t>
  </si>
  <si>
    <t>Pública</t>
  </si>
  <si>
    <t>Total Geral</t>
  </si>
  <si>
    <t>Saneago</t>
  </si>
  <si>
    <t>Água Bruta</t>
  </si>
  <si>
    <t>Saneago + Água Bruta</t>
  </si>
  <si>
    <t>Total Geral com água bruta</t>
  </si>
  <si>
    <r>
      <t>II - Volume Faturado de Esgoto (m</t>
    </r>
    <r>
      <rPr>
        <b/>
        <vertAlign val="superscript"/>
        <sz val="12"/>
        <color indexed="9"/>
        <rFont val="Calibri"/>
        <family val="2"/>
        <scheme val="minor"/>
      </rPr>
      <t>3</t>
    </r>
    <r>
      <rPr>
        <b/>
        <sz val="12"/>
        <color indexed="9"/>
        <rFont val="Calibri"/>
        <family val="2"/>
        <scheme val="minor"/>
      </rPr>
      <t>)</t>
    </r>
  </si>
  <si>
    <t>III - Volume Faturado de Água e de Esgoto (m3)</t>
  </si>
  <si>
    <t>Valor da Parcela A - 2025 - DRP</t>
  </si>
  <si>
    <t>Taxa de Fiscalização do Serviço - TFS</t>
    <phoneticPr fontId="0" type="noConversion"/>
  </si>
  <si>
    <r>
      <t>Volume Faturado de Água (m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)</t>
    </r>
  </si>
  <si>
    <r>
      <t>Volume Faturado de Esgoto (m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)</t>
    </r>
  </si>
  <si>
    <r>
      <t>Volume Faturado Total  (m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)</t>
    </r>
  </si>
  <si>
    <t>Benefício Econômico de Saneamento - Bes (R$)</t>
    <phoneticPr fontId="0" type="noConversion"/>
  </si>
  <si>
    <t>TFS = 1% x Bes (R$)</t>
  </si>
  <si>
    <t>Taxa de Fiscalização do Uso - TFU</t>
    <phoneticPr fontId="0" type="noConversion"/>
  </si>
  <si>
    <r>
      <t>Volume de Água Produzida (m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)</t>
    </r>
  </si>
  <si>
    <r>
      <t>Volume de Esgoto Coletado (m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)</t>
    </r>
  </si>
  <si>
    <r>
      <t>Volume Produzido e Coletado Total - Vp (m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)</t>
    </r>
  </si>
  <si>
    <t>Benefício Econômico de Uso Auferido - Beu(a) (R$)</t>
    <phoneticPr fontId="0" type="noConversion"/>
  </si>
  <si>
    <t>TFU = 2,5% x Beu(a) (R$)</t>
  </si>
  <si>
    <t>Itens de Custo da Parcela A</t>
  </si>
  <si>
    <t xml:space="preserve">Valor </t>
  </si>
  <si>
    <t>Taxa de Fiscalização do Serviço - TFS</t>
  </si>
  <si>
    <t>Taxa de Fiscalização do Uso - TFU</t>
  </si>
  <si>
    <t>Valor Conselho de Consumidores da Caesb</t>
  </si>
  <si>
    <t>Pagamento pelo uso dos recursos hídricos de domínio da União - 2026</t>
  </si>
  <si>
    <t>Pagamento pelo uso dos recursos hídricos de domínio do DF - 2026</t>
  </si>
  <si>
    <t>Investimentos em Pesquisa, Desenvolvimento e Inovação - PDI</t>
  </si>
  <si>
    <t>Receita Operacional Direta 2023</t>
  </si>
  <si>
    <t>Pagamento por Serviços de Proteção de Recursos Hídricos - PSPRH</t>
  </si>
  <si>
    <r>
      <t xml:space="preserve">Valor da Parcela A (VPA </t>
    </r>
    <r>
      <rPr>
        <b/>
        <vertAlign val="subscript"/>
        <sz val="11"/>
        <color theme="0"/>
        <rFont val="Calibri"/>
        <family val="2"/>
        <scheme val="minor"/>
      </rPr>
      <t>DRP</t>
    </r>
    <r>
      <rPr>
        <b/>
        <sz val="11"/>
        <color theme="0"/>
        <rFont val="Calibri"/>
        <family val="2"/>
        <scheme val="minor"/>
      </rPr>
      <t>)</t>
    </r>
  </si>
  <si>
    <t>Valor da Parcela A (R$)</t>
  </si>
  <si>
    <r>
      <t>VPA</t>
    </r>
    <r>
      <rPr>
        <vertAlign val="subscript"/>
        <sz val="11"/>
        <rFont val="Calibri"/>
        <family val="2"/>
        <scheme val="minor"/>
      </rPr>
      <t>DRP</t>
    </r>
  </si>
  <si>
    <t>MR</t>
  </si>
  <si>
    <t>Tarifa da parcela A (R$/m³)</t>
  </si>
  <si>
    <r>
      <t>TA</t>
    </r>
    <r>
      <rPr>
        <b/>
        <vertAlign val="subscript"/>
        <sz val="10.5"/>
        <color theme="0"/>
        <rFont val="Calibri"/>
        <family val="2"/>
        <scheme val="minor"/>
      </rPr>
      <t>DRP</t>
    </r>
    <r>
      <rPr>
        <b/>
        <sz val="10.5"/>
        <color theme="0"/>
        <rFont val="Calibri"/>
        <family val="2"/>
        <scheme val="minor"/>
      </rPr>
      <t xml:space="preserve"> = VPA</t>
    </r>
    <r>
      <rPr>
        <b/>
        <vertAlign val="subscript"/>
        <sz val="10.5"/>
        <color theme="0"/>
        <rFont val="Calibri"/>
        <family val="2"/>
        <scheme val="minor"/>
      </rPr>
      <t>DRP</t>
    </r>
    <r>
      <rPr>
        <b/>
        <sz val="10.5"/>
        <color theme="0"/>
        <rFont val="Calibri"/>
        <family val="2"/>
        <scheme val="minor"/>
      </rPr>
      <t>/MR</t>
    </r>
  </si>
  <si>
    <t>Valor da Parcela B 2025 - DRP</t>
  </si>
  <si>
    <t>IrB (%)</t>
    <phoneticPr fontId="0" type="noConversion"/>
  </si>
  <si>
    <t>Custos</t>
  </si>
  <si>
    <t>Proporção (%)</t>
  </si>
  <si>
    <t>Variação (%)</t>
    <phoneticPr fontId="0" type="noConversion"/>
  </si>
  <si>
    <t xml:space="preserve"> Impacto no IrB (%)</t>
  </si>
  <si>
    <t>Pessoal</t>
  </si>
  <si>
    <t>%P x ΔINPC</t>
    <phoneticPr fontId="0" type="noConversion"/>
  </si>
  <si>
    <t>Energia Elétrica</t>
  </si>
  <si>
    <t>%EE x Δenergia</t>
    <phoneticPr fontId="0" type="noConversion"/>
  </si>
  <si>
    <t xml:space="preserve">Material </t>
  </si>
  <si>
    <t>%MT x ΔIGP-M</t>
    <phoneticPr fontId="0" type="noConversion"/>
  </si>
  <si>
    <t>Remuneração dos Investimentos</t>
  </si>
  <si>
    <t>%RI x ΔIGP-M</t>
    <phoneticPr fontId="0" type="noConversion"/>
  </si>
  <si>
    <t>Outros Custos</t>
  </si>
  <si>
    <t>% OC x ΔIPCA</t>
    <phoneticPr fontId="0" type="noConversion"/>
  </si>
  <si>
    <t>IrB = (%P x ΔINPC) + (%EE x ΔEnergia) + (%MT x ΔIGP-M) + (%RI x ΔIGP-M) + (% OC x ΔIPCA)</t>
  </si>
  <si>
    <t>Fonte: 4ª Revisão Tarifária Periódica</t>
  </si>
  <si>
    <t>(%RI+%MT) x ΔIGP-M</t>
  </si>
  <si>
    <t xml:space="preserve"> </t>
  </si>
  <si>
    <t>Índice que Reajusta a Parcela B</t>
    <phoneticPr fontId="0" type="noConversion"/>
  </si>
  <si>
    <t>IrB</t>
    <phoneticPr fontId="0" type="noConversion"/>
  </si>
  <si>
    <t>Fator X</t>
    <phoneticPr fontId="0" type="noConversion"/>
  </si>
  <si>
    <t>Índice Acumulado = IrB - X</t>
  </si>
  <si>
    <t>Tarifa de Parcela B</t>
  </si>
  <si>
    <r>
      <t>TB</t>
    </r>
    <r>
      <rPr>
        <b/>
        <vertAlign val="subscript"/>
        <sz val="11"/>
        <rFont val="Calibri"/>
        <family val="2"/>
        <scheme val="minor"/>
      </rPr>
      <t>DRA</t>
    </r>
  </si>
  <si>
    <r>
      <t>TB</t>
    </r>
    <r>
      <rPr>
        <b/>
        <vertAlign val="subscript"/>
        <sz val="11"/>
        <rFont val="Calibri"/>
        <family val="2"/>
        <scheme val="minor"/>
      </rPr>
      <t>DRP</t>
    </r>
  </si>
  <si>
    <t>Valor dos Componentes Financeiros 2025 - DRP</t>
  </si>
  <si>
    <t>DISCRIMINAÇÃO</t>
  </si>
  <si>
    <t>JANEIRO</t>
  </si>
  <si>
    <t>FEVEREIRO</t>
  </si>
  <si>
    <t>MARÇO</t>
  </si>
  <si>
    <t xml:space="preserve">ABRIL 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</si>
  <si>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</si>
  <si>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</si>
  <si>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</si>
  <si>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</si>
  <si>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</si>
  <si>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</si>
  <si>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</si>
  <si>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</si>
  <si>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</si>
  <si>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Receita Operacional Direta</t>
  </si>
  <si>
    <t>R$</t>
  </si>
  <si>
    <r>
      <t xml:space="preserve">volume </t>
    </r>
    <r>
      <rPr>
        <sz val="11"/>
        <rFont val="Calibri"/>
        <family val="2"/>
      </rPr>
      <t>produzido Ag</t>
    </r>
  </si>
  <si>
    <t>m³</t>
  </si>
  <si>
    <r>
      <t xml:space="preserve">volume </t>
    </r>
    <r>
      <rPr>
        <sz val="11"/>
        <rFont val="Calibri"/>
        <family val="2"/>
      </rPr>
      <t>coletado Esg</t>
    </r>
  </si>
  <si>
    <t>Total vol prod Ag + Esg</t>
  </si>
  <si>
    <r>
      <t xml:space="preserve">volume </t>
    </r>
    <r>
      <rPr>
        <sz val="11"/>
        <rFont val="Calibri"/>
        <family val="2"/>
      </rPr>
      <t>faturado Ag</t>
    </r>
  </si>
  <si>
    <r>
      <t xml:space="preserve">volume </t>
    </r>
    <r>
      <rPr>
        <sz val="11"/>
        <rFont val="Calibri"/>
        <family val="2"/>
      </rPr>
      <t>faturado Esg</t>
    </r>
  </si>
  <si>
    <t>Total vol fat Ag + Esg</t>
  </si>
  <si>
    <t>Tarifa Média</t>
  </si>
  <si>
    <t>R$/m³</t>
  </si>
  <si>
    <t>Bes</t>
  </si>
  <si>
    <t>Beu</t>
  </si>
  <si>
    <t>TFU (2,5%)</t>
  </si>
  <si>
    <t>TFS (1%)</t>
  </si>
  <si>
    <t>Mês</t>
  </si>
  <si>
    <t>CPA</t>
  </si>
  <si>
    <t>VPA</t>
  </si>
  <si>
    <t>IPCA</t>
  </si>
  <si>
    <t>CF</t>
  </si>
  <si>
    <t>Tarifa da parcela A (R$/m³) - 2023</t>
  </si>
  <si>
    <r>
      <t>TA</t>
    </r>
    <r>
      <rPr>
        <b/>
        <vertAlign val="subscript"/>
        <sz val="11"/>
        <color theme="1"/>
        <rFont val="Calibri"/>
        <family val="2"/>
        <scheme val="minor"/>
      </rPr>
      <t>DRA</t>
    </r>
    <r>
      <rPr>
        <b/>
        <sz val="11"/>
        <color theme="1"/>
        <rFont val="Calibri"/>
        <family val="2"/>
        <scheme val="minor"/>
      </rPr>
      <t xml:space="preserve"> = VPA</t>
    </r>
    <r>
      <rPr>
        <b/>
        <vertAlign val="subscript"/>
        <sz val="11"/>
        <color theme="1"/>
        <rFont val="Calibri"/>
        <family val="2"/>
        <scheme val="minor"/>
      </rPr>
      <t>DRA</t>
    </r>
    <r>
      <rPr>
        <b/>
        <sz val="11"/>
        <color theme="1"/>
        <rFont val="Calibri"/>
        <family val="2"/>
        <scheme val="minor"/>
      </rPr>
      <t>/MR</t>
    </r>
  </si>
  <si>
    <t>jan</t>
  </si>
  <si>
    <t>Tarifa da parcela A (R$/m³) - 2024</t>
  </si>
  <si>
    <t>fev</t>
  </si>
  <si>
    <t>Valor do Componente Financeiro (R$)</t>
  </si>
  <si>
    <r>
      <rPr>
        <b/>
        <sz val="11"/>
        <rFont val="Calibri"/>
        <family val="2"/>
        <scheme val="minor"/>
      </rPr>
      <t>CF</t>
    </r>
    <r>
      <rPr>
        <b/>
        <vertAlign val="subscript"/>
        <sz val="11"/>
        <rFont val="Calibri"/>
        <family val="2"/>
        <scheme val="minor"/>
      </rPr>
      <t>DRP</t>
    </r>
  </si>
  <si>
    <t>mar</t>
  </si>
  <si>
    <t>abr</t>
  </si>
  <si>
    <t>Tarifa de Componentes Financeiros (R$/m³)</t>
  </si>
  <si>
    <r>
      <t>TF</t>
    </r>
    <r>
      <rPr>
        <b/>
        <vertAlign val="subscript"/>
        <sz val="10.5"/>
        <color theme="0"/>
        <rFont val="Calibri"/>
        <family val="2"/>
        <scheme val="minor"/>
      </rPr>
      <t>DRP</t>
    </r>
    <r>
      <rPr>
        <b/>
        <sz val="10.5"/>
        <color theme="0"/>
        <rFont val="Calibri"/>
        <family val="2"/>
        <scheme val="minor"/>
      </rPr>
      <t xml:space="preserve"> = CF</t>
    </r>
    <r>
      <rPr>
        <b/>
        <vertAlign val="subscript"/>
        <sz val="10.5"/>
        <color theme="0"/>
        <rFont val="Calibri"/>
        <family val="2"/>
        <scheme val="minor"/>
      </rPr>
      <t>DRP</t>
    </r>
    <r>
      <rPr>
        <b/>
        <sz val="10.5"/>
        <color theme="0"/>
        <rFont val="Calibri"/>
        <family val="2"/>
        <scheme val="minor"/>
      </rPr>
      <t>/MR</t>
    </r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</si>
  <si>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</si>
  <si>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</si>
  <si>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</si>
  <si>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</si>
  <si>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</si>
  <si>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</si>
  <si>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</si>
  <si>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</si>
  <si>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Outros Componentes Financeiros </t>
  </si>
  <si>
    <t>CF total (R$)</t>
  </si>
  <si>
    <r>
      <t>TF</t>
    </r>
    <r>
      <rPr>
        <b/>
        <vertAlign val="subscript"/>
        <sz val="11"/>
        <color theme="0"/>
        <rFont val="Calibri"/>
        <family val="2"/>
        <scheme val="minor"/>
      </rPr>
      <t>DRA</t>
    </r>
  </si>
  <si>
    <t>Diferença no pagamento pelo uso dos recursos hídricos de domínio da União</t>
  </si>
  <si>
    <t xml:space="preserve">   Previsão de pagamento pelo uso dos recursos hídricos de domínio da União - 2024</t>
  </si>
  <si>
    <t xml:space="preserve">   Valor efetivamente pago pelo uso dos recursos hídricos de domínio da União - 2024</t>
  </si>
  <si>
    <t>Rendimentos PSA - valor atualizado</t>
  </si>
  <si>
    <t xml:space="preserve">   Rendimento - Extrato bancário de jun/2023</t>
  </si>
  <si>
    <t xml:space="preserve">   Rendimento - Extrato bancário de jul/2023</t>
  </si>
  <si>
    <t xml:space="preserve">   Atualização monetária em R$</t>
  </si>
  <si>
    <t>Tarifa de Contingência</t>
  </si>
  <si>
    <t xml:space="preserve">   Extrato bancário de 31/12/2024</t>
  </si>
  <si>
    <t>Valor a devolver referente ao PDI</t>
  </si>
  <si>
    <t xml:space="preserve">   Rendimento bruto de aplicação Financeira até 31/12/2024</t>
  </si>
  <si>
    <t xml:space="preserve">   Pagamento por Serviços de Proteção de Recursos Hídricos - PSPRH - 0,3%</t>
  </si>
  <si>
    <t xml:space="preserve">   Valor previsto para o PSPRH - 4ª RTP</t>
  </si>
  <si>
    <t>Valor repassado para Adasa -  Acordo de Repasse Nº 02/2024 - ADASA/CAESB</t>
  </si>
  <si>
    <t>Tarifa Social - Lei Federal nº 14.898/2024</t>
  </si>
  <si>
    <t>Valor do RTA 2025</t>
  </si>
  <si>
    <t>Valores da DRA</t>
  </si>
  <si>
    <t>Valores da DRP</t>
  </si>
  <si>
    <t>Valor Parcela A</t>
  </si>
  <si>
    <t>Valor do Bônus-desconto - Parcela A:</t>
  </si>
  <si>
    <t>VPA-BD</t>
  </si>
  <si>
    <t xml:space="preserve">Valor da Parcela B: </t>
    <phoneticPr fontId="0" type="noConversion"/>
  </si>
  <si>
    <t>VPB</t>
  </si>
  <si>
    <t xml:space="preserve">Valor do Componente Financeiro </t>
  </si>
  <si>
    <t>VCF</t>
  </si>
  <si>
    <t>Receita Anual:</t>
  </si>
  <si>
    <t>RA</t>
  </si>
  <si>
    <t>Mercado de Referência (m³) - jan a dez</t>
  </si>
  <si>
    <t>Fonte: 4ª Revisão Tarifária Periódica - 4º RTP</t>
  </si>
  <si>
    <t>Disponível em: Nota Técnica N.º 5/2024 - ADASA/SEF/CORE</t>
  </si>
  <si>
    <t>Tarifa</t>
  </si>
  <si>
    <r>
      <t>DRA (R$/m</t>
    </r>
    <r>
      <rPr>
        <vertAlign val="superscript"/>
        <sz val="11"/>
        <color theme="0"/>
        <rFont val="Calibri"/>
        <family val="2"/>
        <scheme val="minor"/>
      </rPr>
      <t>3</t>
    </r>
    <r>
      <rPr>
        <sz val="11"/>
        <color theme="0"/>
        <rFont val="Calibri"/>
        <family val="2"/>
        <scheme val="minor"/>
      </rPr>
      <t>)</t>
    </r>
  </si>
  <si>
    <t>DRP (R$/m³)</t>
  </si>
  <si>
    <t xml:space="preserve">Tarifa de Parcela A:                                                                    </t>
  </si>
  <si>
    <t>TA</t>
  </si>
  <si>
    <t>Tarifa Bônus-desconto</t>
  </si>
  <si>
    <t>TA-BD</t>
  </si>
  <si>
    <t xml:space="preserve">Tarifa de Parcela B: </t>
    <phoneticPr fontId="0" type="noConversion"/>
  </si>
  <si>
    <t>TB</t>
  </si>
  <si>
    <t>Tarifa Componentes Financeiros</t>
  </si>
  <si>
    <t>TF</t>
  </si>
  <si>
    <t xml:space="preserve">Tarifa Final: </t>
  </si>
  <si>
    <t>Índice de Reajuste Tarifário</t>
  </si>
  <si>
    <t>Valor das Tarifas RTA 2025</t>
  </si>
  <si>
    <t>Tarifas resultantes da RTP 2024</t>
  </si>
  <si>
    <t>Tarifas resultantes do RTA 2025</t>
  </si>
  <si>
    <t>Tarifas dos serviços públicos de abastecimento de água e esgotamento sanitário a vigorar no período de 1º de junho de 2024 a 31 de maio de 2025</t>
  </si>
  <si>
    <t>Tarifas dos serviços públicos de abastecimento de água e esgotamento sanitário a vigorar no período de 1º de junho de 2025 a 31 de maio de 2026</t>
  </si>
  <si>
    <t xml:space="preserve"> Faixa de Consumo (m³)</t>
  </si>
  <si>
    <t>Tarifa Fixa (R$)</t>
  </si>
  <si>
    <t>Tarifa Variável (R$/m³)</t>
  </si>
  <si>
    <t xml:space="preserve">Residencial </t>
  </si>
  <si>
    <t>Acima de 45</t>
  </si>
  <si>
    <t>Não - Residencial (Comercial, Industrial e Pública)</t>
  </si>
  <si>
    <t xml:space="preserve">8 a 10 </t>
  </si>
  <si>
    <t xml:space="preserve">11 a 40 </t>
  </si>
  <si>
    <t>Acima de 40</t>
  </si>
  <si>
    <t>Paisagismo</t>
  </si>
  <si>
    <t>Resolução Adasa nº 36, de 26 de abril de 2024</t>
  </si>
  <si>
    <t>Unidades de Consumo</t>
  </si>
  <si>
    <t>Valor Faturado</t>
  </si>
  <si>
    <t>Tarifa Social</t>
  </si>
  <si>
    <t>1 a 7</t>
  </si>
  <si>
    <t>21 a 31</t>
  </si>
  <si>
    <t>46 a *</t>
  </si>
  <si>
    <t>-</t>
  </si>
  <si>
    <t>Fonte: Relatório de Faturamento CAESB</t>
  </si>
  <si>
    <t>Faturamento Médio por Unidade de Consumo</t>
  </si>
  <si>
    <t>Média de jan-dez/2023 do nº de Unidades na classe Residencial Social</t>
  </si>
  <si>
    <t>Compensação da Tarifa Social - Lei Federal nº 14.898/2024</t>
  </si>
  <si>
    <t>Companhia de Saneamento Ambiental do Distrito Federal - CAESB</t>
  </si>
  <si>
    <t>Revisão Tarifária Periódica (4ª RTP)</t>
  </si>
  <si>
    <t>Reposicionamento Tarifário</t>
  </si>
  <si>
    <t>Parcela A (VPA)</t>
  </si>
  <si>
    <t>em R$</t>
  </si>
  <si>
    <t>. Bônus desconto</t>
  </si>
  <si>
    <t xml:space="preserve">. TFS  </t>
  </si>
  <si>
    <t>. TFU</t>
  </si>
  <si>
    <t>. Conselho de consumidores</t>
  </si>
  <si>
    <t>. Pagamento pelo uso dos recursos hídricos de domínio da União - 2025</t>
  </si>
  <si>
    <t>. Pagamento pelo uso dos recursos hídricos de domínio do DF - 2025</t>
  </si>
  <si>
    <t>. Pagamento por Serviços de Proteção de Recursos Hídricos - PSPRH</t>
  </si>
  <si>
    <t>Total Parcela A (VPA)</t>
  </si>
  <si>
    <t>Parcela B (VPB)</t>
  </si>
  <si>
    <t>. Custos Operacionais 4ª RTP</t>
  </si>
  <si>
    <t>. Pessoal</t>
  </si>
  <si>
    <t>. Terceiros</t>
  </si>
  <si>
    <t>. Material</t>
  </si>
  <si>
    <t>. Gerais</t>
  </si>
  <si>
    <t>. Depreciação</t>
  </si>
  <si>
    <t>. Impostos e taxas</t>
  </si>
  <si>
    <t>. Energia elétrica</t>
  </si>
  <si>
    <t>. Receitas Irrecuperáveis</t>
  </si>
  <si>
    <t>. Remuneração Adequada</t>
  </si>
  <si>
    <t xml:space="preserve">. Remuneração dos Investimentos </t>
  </si>
  <si>
    <t>. Quota de Reintegração Regulatória</t>
  </si>
  <si>
    <t>. Remuneração dos Ativos de Almoxarifado</t>
  </si>
  <si>
    <t>Total Parcela B (VPB)</t>
  </si>
  <si>
    <t>Parcela CF (VCF)</t>
  </si>
  <si>
    <t>. Devolução do PASEP/COFINS de 2019 - saldo 3ª parcela</t>
  </si>
  <si>
    <t>. Compensação do adiamento da 3ª RTP</t>
  </si>
  <si>
    <t>. Diferença no pagamento pelo uso dos recursos hídricos de domínio da União</t>
  </si>
  <si>
    <t>. Devolução do pagamento pelo uso dos recursos hídricos de domínio do DF</t>
  </si>
  <si>
    <t>. Valor a devolver referente ao PDI - rendimentos de aplicações financeiras</t>
  </si>
  <si>
    <t>. Valor a devolver referente a Tarifa de Contingência</t>
  </si>
  <si>
    <t>. Compensação Tributária PASEP/COFINS</t>
  </si>
  <si>
    <t>. Compensação RTA 2023</t>
  </si>
  <si>
    <t>. Percentual de aumento não aplicado (1,88%) na RTE</t>
  </si>
  <si>
    <t>. Valor da economia de energia elétrica gerada pela Usina Fotovoltaica - Sede</t>
  </si>
  <si>
    <t>. Custos para avaliação dos ativos da BAR incremental - saldo contratual</t>
  </si>
  <si>
    <t>Total Parcela CF (VCF)</t>
  </si>
  <si>
    <t>. Receita Requerida (VPA + VPB + VCF)</t>
  </si>
  <si>
    <t>(-) Outras Receitas</t>
  </si>
  <si>
    <t>. Receita Requerida Líquida (A)</t>
  </si>
  <si>
    <t>. Receita Verificada (B)</t>
  </si>
  <si>
    <t>Reposicionamento Tarifário - RT (A/B-1)</t>
  </si>
  <si>
    <t>Faturamento Água - dez/2024</t>
  </si>
  <si>
    <t>Faturamento Esgoto - dez/2024</t>
  </si>
  <si>
    <t>Compensação Tributária PASEP/COFINS</t>
  </si>
  <si>
    <t>Mês Compensação</t>
  </si>
  <si>
    <t>PASEP/COFINS</t>
  </si>
  <si>
    <t>Valor compensado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</si>
  <si>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</si>
  <si>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</si>
  <si>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</si>
  <si>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</si>
  <si>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</si>
  <si>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</si>
  <si>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</si>
  <si>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</si>
  <si>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</si>
  <si>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</si>
  <si>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</si>
  <si>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</si>
  <si>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</si>
  <si>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Valor Atualizado para 2024</t>
  </si>
  <si>
    <t>PIS/PASEP</t>
  </si>
  <si>
    <t>COFINS</t>
  </si>
  <si>
    <t>Valor Faturado da Tarifa Social - dez/24</t>
  </si>
  <si>
    <t>Total do Número de Unidades de Água - dez/24</t>
  </si>
  <si>
    <r>
      <t xml:space="preserve">Dados de Energia Elétrica 2023 e 2024 </t>
    </r>
    <r>
      <rPr>
        <b/>
        <vertAlign val="superscript"/>
        <sz val="11"/>
        <color theme="0"/>
        <rFont val="Calibri"/>
        <family val="2"/>
        <scheme val="minor"/>
      </rPr>
      <t>3</t>
    </r>
  </si>
  <si>
    <r>
      <t>Custo de Energia</t>
    </r>
    <r>
      <rPr>
        <vertAlign val="superscript"/>
        <sz val="11"/>
        <color theme="0"/>
        <rFont val="Calibri"/>
        <family val="2"/>
        <scheme val="minor"/>
      </rPr>
      <t xml:space="preserve"> 1</t>
    </r>
    <r>
      <rPr>
        <sz val="11"/>
        <color theme="0"/>
        <rFont val="Calibri"/>
        <family val="2"/>
        <scheme val="minor"/>
      </rPr>
      <t xml:space="preserve"> (R$)</t>
    </r>
  </si>
  <si>
    <r>
      <t xml:space="preserve">Consumo </t>
    </r>
    <r>
      <rPr>
        <vertAlign val="superscript"/>
        <sz val="11"/>
        <color theme="0"/>
        <rFont val="Calibri"/>
        <family val="2"/>
        <scheme val="minor"/>
      </rPr>
      <t>2</t>
    </r>
    <r>
      <rPr>
        <sz val="11"/>
        <color theme="0"/>
        <rFont val="Calibri"/>
        <family val="2"/>
        <scheme val="minor"/>
      </rPr>
      <t xml:space="preserve"> (KWh)</t>
    </r>
  </si>
  <si>
    <r>
      <t xml:space="preserve">Custo de Energia </t>
    </r>
    <r>
      <rPr>
        <vertAlign val="superscript"/>
        <sz val="11"/>
        <color theme="0"/>
        <rFont val="Calibri"/>
        <family val="2"/>
        <scheme val="minor"/>
      </rPr>
      <t>1,4</t>
    </r>
    <r>
      <rPr>
        <sz val="11"/>
        <color theme="0"/>
        <rFont val="Calibri"/>
        <family val="2"/>
        <scheme val="minor"/>
      </rPr>
      <t>(R$)</t>
    </r>
  </si>
  <si>
    <r>
      <t>Consumo</t>
    </r>
    <r>
      <rPr>
        <vertAlign val="superscript"/>
        <sz val="11"/>
        <color theme="0"/>
        <rFont val="Calibri"/>
        <family val="2"/>
        <scheme val="minor"/>
      </rPr>
      <t xml:space="preserve"> 2,4</t>
    </r>
    <r>
      <rPr>
        <sz val="11"/>
        <color theme="0"/>
        <rFont val="Calibri"/>
        <family val="2"/>
        <scheme val="minor"/>
      </rPr>
      <t xml:space="preserve"> (KWh)</t>
    </r>
  </si>
  <si>
    <t>1 Custo de Energia (R$): toda a despesa mensal incorrida pela CAESB, incluindo o Consórcio Corumbá, com energia elétrica no referido mês</t>
  </si>
  <si>
    <t>2 Consumo (KWh): todo o consumo mensal de energia elétrica, em KWh, da CAESB no referido mês, incluindo o consumo estimado do Consórcio Corumbá.</t>
  </si>
  <si>
    <t xml:space="preserve">3  As informações de Custo e Consumo de 2023 e 2024 estão líquida dos custos com o projeto Golfinho, Restaurante, BRB, Caeso e Consórcio Águas lindas. </t>
  </si>
  <si>
    <t>4 As informações de Custo e Consumo a partir de maio de 2024 consideram a soma do Mercado Livre e Mercado Cativo.</t>
  </si>
  <si>
    <t>Reequilíbrio econômico-financeiro da redução de receita devido à Tarifa Social</t>
  </si>
  <si>
    <t>Compensação parcial PASEP/COFINS de 12/2023 a 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</si>
</sst>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#,##0.00;[Red]\-&quot;R$&quot;#,##0.00"/>
    <numFmt numFmtId="165" formatCode="#,##0.0000"/>
    <numFmt numFmtId="166" formatCode="_-* #,##0_-;\-* #,##0_-;_-* &quot;-&quot;??_-;_-@_-"/>
    <numFmt numFmtId="167" formatCode="_(* #,##0.00_);_(* \(#,##0.00\);_(* &quot;-&quot;??_);_(@_)"/>
    <numFmt numFmtId="168" formatCode="mmm\-yy"/>
    <numFmt numFmtId="169" formatCode="0.0000"/>
    <numFmt numFmtId="170" formatCode="_(&quot;R$ &quot;* #,##0.00_);_(&quot;R$ &quot;* \(#,##0.00\);_(&quot;R$ &quot;* &quot;-&quot;??_);_(@_)"/>
    <numFmt numFmtId="171" formatCode="_-* #,##0.0000_-;\-* #,##0.0000_-;_-* &quot;-&quot;??_-;_-@_-"/>
    <numFmt numFmtId="172" formatCode="mmmm/yyyy"/>
    <numFmt numFmtId="173" formatCode="0.00000"/>
    <numFmt numFmtId="174" formatCode="_(* #,##0_);_(* \(#,##0\);_(* &quot;-&quot;??_);_(@_)"/>
    <numFmt numFmtId="175" formatCode="#,##0;[Red]#,##0"/>
    <numFmt numFmtId="176" formatCode="_(* #,##0_);_(* \(#,##0\);_(* &quot;-&quot;_);_(@_)"/>
    <numFmt numFmtId="177" formatCode="[$-416]mmm\-yy;@"/>
    <numFmt numFmtId="178" formatCode="&quot;R$&quot;#,##0.00"/>
    <numFmt numFmtId="179" formatCode="_-* #,##0.00000_-;\-* #,##0.00000_-;_-* &quot;-&quot;??_-;_-@_-"/>
    <numFmt numFmtId="180" formatCode="0.000000000%"/>
    <numFmt numFmtId="181" formatCode="#,##0.00;[Red]#,##0.00"/>
    <numFmt numFmtId="182" formatCode="_-* #,##0.000_-;\-* #,##0.000_-;_-* &quot;-&quot;??_-;_-@_-"/>
    <numFmt numFmtId="183" formatCode="_-* #,##0.0000_-;\-* #,##0.0000_-;_-* &quot;-&quot;????_-;_-@_-"/>
    <numFmt numFmtId="184" formatCode="#,##0.0"/>
    <numFmt numFmtId="185" formatCode="#,##0.0000;[Red]#,##0.0000"/>
    <numFmt numFmtId="186" formatCode="_(* #,##0.00_);_(* \(#,##0.00\);_(* &quot;-&quot;_);_(@_)"/>
    <numFmt numFmtId="187" formatCode="&quot;R$&quot;\ #,##0.00"/>
    <numFmt numFmtId="188" formatCode="_(* #,##0.0000_);_(* \(#,##0.0000\);_(* &quot;-&quot;??_);_(@_)"/>
    <numFmt numFmtId="189" formatCode="0.000%"/>
    <numFmt numFmtId="190" formatCode="0.0000000%"/>
  </numFmts>
  <fonts count="7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4"/>
      <color indexed="18"/>
      <name val="Arial"/>
      <family val="2"/>
    </font>
    <font>
      <b/>
      <sz val="11"/>
      <name val="Arial"/>
      <family val="2"/>
    </font>
    <font>
      <sz val="9"/>
      <color indexed="8"/>
      <name val="Arial"/>
      <family val="2"/>
    </font>
    <font>
      <sz val="11"/>
      <color theme="0"/>
      <name val="Arial"/>
      <family val="2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vertAlign val="superscript"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vertAlign val="subscript"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0"/>
      <name val="Arial"/>
      <family val="2"/>
    </font>
    <font>
      <b/>
      <sz val="16"/>
      <color theme="1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sz val="15"/>
      <color theme="0"/>
      <name val="Arial"/>
      <family val="2"/>
    </font>
    <font>
      <b/>
      <sz val="10"/>
      <name val="Arial"/>
      <family val="2"/>
    </font>
    <font>
      <sz val="15"/>
      <color rgb="FF000000"/>
      <name val="Calibri"/>
      <family val="2"/>
      <scheme val="minor"/>
    </font>
    <font>
      <sz val="15"/>
      <color theme="1"/>
      <name val="Calibri"/>
      <family val="2"/>
      <scheme val="minor"/>
    </font>
    <font>
      <sz val="9"/>
      <color rgb="FFFF0000"/>
      <name val="Arial"/>
      <family val="2"/>
    </font>
    <font>
      <sz val="8"/>
      <name val="Calibri"/>
      <family val="2"/>
      <scheme val="minor"/>
    </font>
    <font>
      <sz val="11"/>
      <color rgb="FFFF0000"/>
      <name val="Arial"/>
      <family val="2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i/>
      <sz val="11"/>
      <color theme="3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vertAlign val="superscript"/>
      <sz val="12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8"/>
      <color theme="3"/>
      <name val="Calibri"/>
      <family val="2"/>
      <scheme val="minor"/>
    </font>
    <font>
      <b/>
      <i/>
      <sz val="14"/>
      <color rgb="FF1F497D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color theme="3"/>
      <name val="Arial"/>
      <family val="2"/>
    </font>
    <font>
      <sz val="9"/>
      <color theme="3"/>
      <name val="Arial"/>
      <family val="2"/>
    </font>
    <font>
      <sz val="8"/>
      <name val="Arial"/>
      <family val="2"/>
    </font>
    <font>
      <b/>
      <sz val="10.5"/>
      <color theme="0"/>
      <name val="Calibri"/>
      <family val="2"/>
      <scheme val="minor"/>
    </font>
    <font>
      <b/>
      <vertAlign val="subscript"/>
      <sz val="10.5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2"/>
      <name val="Calibri"/>
      <family val="2"/>
      <scheme val="minor"/>
    </font>
    <font>
      <vertAlign val="sub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name val="Calibri"/>
      <family val="2"/>
    </font>
    <font>
      <b/>
      <vertAlign val="subscript"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FFFFFF"/>
      <name val="Arial"/>
      <family val="2"/>
    </font>
    <font>
      <b/>
      <sz val="11"/>
      <color theme="0"/>
      <name val="Calibri"/>
      <family val="2"/>
    </font>
    <font>
      <sz val="9"/>
      <color indexed="18"/>
      <name val="Arial"/>
      <family val="2"/>
    </font>
    <font>
      <b/>
      <sz val="8"/>
      <color indexed="8"/>
      <name val="Arial"/>
      <family val="2"/>
    </font>
    <font>
      <b/>
      <vertAlign val="superscript"/>
      <sz val="11"/>
      <color theme="0"/>
      <name val="Calibri"/>
      <family val="2"/>
      <scheme val="minor"/>
    </font>
    <font>
      <sz val="1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38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38"/>
      </patternFill>
    </fill>
    <fill>
      <patternFill patternType="solid">
        <fgColor theme="4" tint="-0.249977111117893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/>
      <top style="thin">
        <color theme="3"/>
      </top>
      <bottom/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>
      <alignment vertical="top"/>
    </xf>
    <xf numFmtId="0" fontId="3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2" fillId="0" borderId="0"/>
    <xf numFmtId="0" fontId="3" fillId="0" borderId="0"/>
    <xf numFmtId="167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>
      <alignment vertical="top"/>
    </xf>
    <xf numFmtId="0" fontId="4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4" fillId="0" borderId="0"/>
    <xf numFmtId="44" fontId="1" fillId="0" borderId="0" applyFont="0" applyFill="0" applyBorder="0" applyAlignment="0" applyProtection="0"/>
  </cellStyleXfs>
  <cellXfs count="552">
    <xf numFmtId="0" fontId="0" fillId="0" borderId="0" xfId="0"/>
    <xf numFmtId="0" fontId="4" fillId="0" borderId="0" xfId="0" applyFont="1"/>
    <xf numFmtId="0" fontId="6" fillId="0" borderId="0" xfId="0" applyFont="1" applyAlignment="1">
      <alignment vertical="center"/>
    </xf>
    <xf numFmtId="43" fontId="0" fillId="0" borderId="0" xfId="0" applyNumberFormat="1"/>
    <xf numFmtId="0" fontId="3" fillId="0" borderId="0" xfId="4">
      <alignment vertical="top"/>
    </xf>
    <xf numFmtId="3" fontId="3" fillId="0" borderId="0" xfId="4" applyNumberFormat="1">
      <alignment vertical="top"/>
    </xf>
    <xf numFmtId="0" fontId="5" fillId="3" borderId="0" xfId="0" applyFont="1" applyFill="1" applyAlignment="1">
      <alignment vertical="top"/>
    </xf>
    <xf numFmtId="0" fontId="5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9" applyFont="1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0" xfId="9" applyFont="1" applyFill="1" applyAlignment="1">
      <alignment horizontal="center" vertical="center"/>
    </xf>
    <xf numFmtId="0" fontId="0" fillId="0" borderId="0" xfId="0" applyAlignment="1">
      <alignment horizontal="center"/>
    </xf>
    <xf numFmtId="43" fontId="5" fillId="3" borderId="0" xfId="1" applyFont="1" applyFill="1" applyAlignment="1">
      <alignment vertical="top"/>
    </xf>
    <xf numFmtId="43" fontId="5" fillId="3" borderId="0" xfId="0" applyNumberFormat="1" applyFont="1" applyFill="1" applyAlignment="1">
      <alignment vertical="top"/>
    </xf>
    <xf numFmtId="0" fontId="0" fillId="0" borderId="0" xfId="0" applyAlignment="1">
      <alignment horizontal="center" vertical="top" wrapText="1"/>
    </xf>
    <xf numFmtId="10" fontId="4" fillId="2" borderId="0" xfId="3" applyNumberFormat="1" applyFont="1" applyFill="1"/>
    <xf numFmtId="43" fontId="0" fillId="0" borderId="0" xfId="1" applyFont="1"/>
    <xf numFmtId="0" fontId="8" fillId="0" borderId="0" xfId="0" applyFont="1"/>
    <xf numFmtId="171" fontId="0" fillId="0" borderId="0" xfId="1" applyNumberFormat="1" applyFont="1" applyAlignment="1">
      <alignment horizontal="center" vertical="top" wrapText="1"/>
    </xf>
    <xf numFmtId="0" fontId="0" fillId="3" borderId="0" xfId="0" applyFill="1"/>
    <xf numFmtId="166" fontId="4" fillId="2" borderId="0" xfId="1" applyNumberFormat="1" applyFont="1" applyFill="1" applyAlignment="1">
      <alignment horizontal="center" vertical="center"/>
    </xf>
    <xf numFmtId="166" fontId="0" fillId="0" borderId="0" xfId="0" applyNumberFormat="1"/>
    <xf numFmtId="0" fontId="4" fillId="0" borderId="0" xfId="0" applyFont="1" applyAlignment="1">
      <alignment horizontal="right"/>
    </xf>
    <xf numFmtId="169" fontId="4" fillId="0" borderId="0" xfId="0" applyNumberFormat="1" applyFont="1" applyAlignment="1">
      <alignment horizontal="left"/>
    </xf>
    <xf numFmtId="10" fontId="0" fillId="0" borderId="0" xfId="3" applyNumberFormat="1" applyFont="1"/>
    <xf numFmtId="0" fontId="2" fillId="3" borderId="0" xfId="0" applyFont="1" applyFill="1" applyAlignment="1">
      <alignment horizontal="left" vertical="center" wrapText="1"/>
    </xf>
    <xf numFmtId="3" fontId="2" fillId="3" borderId="0" xfId="0" applyNumberFormat="1" applyFont="1" applyFill="1" applyAlignment="1">
      <alignment horizontal="right" vertical="center"/>
    </xf>
    <xf numFmtId="0" fontId="19" fillId="0" borderId="0" xfId="0" applyFont="1"/>
    <xf numFmtId="0" fontId="23" fillId="6" borderId="0" xfId="0" applyFont="1" applyFill="1"/>
    <xf numFmtId="0" fontId="24" fillId="6" borderId="0" xfId="14" applyFont="1" applyFill="1" applyAlignment="1">
      <alignment horizontal="left" vertical="center" indent="1"/>
    </xf>
    <xf numFmtId="0" fontId="23" fillId="3" borderId="0" xfId="0" applyFont="1" applyFill="1"/>
    <xf numFmtId="0" fontId="24" fillId="6" borderId="0" xfId="0" applyFont="1" applyFill="1" applyAlignment="1">
      <alignment horizontal="left" indent="1"/>
    </xf>
    <xf numFmtId="0" fontId="25" fillId="6" borderId="0" xfId="14" applyFont="1" applyFill="1" applyAlignment="1">
      <alignment horizontal="left" vertical="center" indent="1"/>
    </xf>
    <xf numFmtId="0" fontId="26" fillId="6" borderId="0" xfId="13" applyFont="1" applyFill="1" applyAlignment="1">
      <alignment horizontal="center" vertical="center"/>
    </xf>
    <xf numFmtId="0" fontId="3" fillId="3" borderId="0" xfId="13" applyFill="1"/>
    <xf numFmtId="0" fontId="25" fillId="3" borderId="0" xfId="14" applyFont="1" applyFill="1" applyAlignment="1">
      <alignment horizontal="left" vertical="center" indent="1"/>
    </xf>
    <xf numFmtId="0" fontId="26" fillId="3" borderId="0" xfId="13" applyFont="1" applyFill="1" applyAlignment="1">
      <alignment horizontal="center" vertical="center"/>
    </xf>
    <xf numFmtId="0" fontId="0" fillId="3" borderId="2" xfId="0" applyFill="1" applyBorder="1"/>
    <xf numFmtId="0" fontId="0" fillId="3" borderId="7" xfId="0" applyFill="1" applyBorder="1"/>
    <xf numFmtId="0" fontId="3" fillId="3" borderId="7" xfId="13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3" fillId="3" borderId="0" xfId="13" applyFill="1" applyAlignment="1">
      <alignment vertical="center"/>
    </xf>
    <xf numFmtId="43" fontId="3" fillId="3" borderId="0" xfId="1" applyFont="1" applyFill="1" applyBorder="1" applyAlignment="1">
      <alignment vertical="center"/>
    </xf>
    <xf numFmtId="0" fontId="0" fillId="3" borderId="8" xfId="0" applyFill="1" applyBorder="1"/>
    <xf numFmtId="0" fontId="3" fillId="3" borderId="9" xfId="13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3" fillId="3" borderId="0" xfId="14" applyFill="1" applyAlignment="1">
      <alignment vertical="center"/>
    </xf>
    <xf numFmtId="176" fontId="3" fillId="3" borderId="0" xfId="11" applyNumberFormat="1" applyFont="1" applyFill="1" applyBorder="1"/>
    <xf numFmtId="0" fontId="3" fillId="3" borderId="0" xfId="14" applyFill="1" applyAlignment="1">
      <alignment horizontal="left" vertical="center"/>
    </xf>
    <xf numFmtId="0" fontId="27" fillId="3" borderId="9" xfId="13" applyFont="1" applyFill="1" applyBorder="1" applyAlignment="1">
      <alignment vertical="center"/>
    </xf>
    <xf numFmtId="176" fontId="27" fillId="3" borderId="9" xfId="11" applyNumberFormat="1" applyFont="1" applyFill="1" applyBorder="1"/>
    <xf numFmtId="0" fontId="27" fillId="3" borderId="0" xfId="14" applyFont="1" applyFill="1" applyAlignment="1">
      <alignment vertical="center"/>
    </xf>
    <xf numFmtId="176" fontId="27" fillId="3" borderId="0" xfId="11" applyNumberFormat="1" applyFont="1" applyFill="1" applyBorder="1"/>
    <xf numFmtId="0" fontId="3" fillId="3" borderId="0" xfId="14" applyFill="1" applyAlignment="1">
      <alignment horizontal="left" vertical="center" indent="1"/>
    </xf>
    <xf numFmtId="0" fontId="27" fillId="3" borderId="0" xfId="13" applyFont="1" applyFill="1" applyAlignment="1">
      <alignment vertical="center"/>
    </xf>
    <xf numFmtId="0" fontId="0" fillId="3" borderId="13" xfId="0" applyFill="1" applyBorder="1"/>
    <xf numFmtId="0" fontId="3" fillId="3" borderId="14" xfId="13" applyFill="1" applyBorder="1"/>
    <xf numFmtId="0" fontId="0" fillId="3" borderId="15" xfId="0" applyFill="1" applyBorder="1"/>
    <xf numFmtId="0" fontId="0" fillId="3" borderId="6" xfId="0" applyFill="1" applyBorder="1"/>
    <xf numFmtId="0" fontId="0" fillId="3" borderId="16" xfId="0" applyFill="1" applyBorder="1"/>
    <xf numFmtId="0" fontId="3" fillId="3" borderId="16" xfId="13" applyFill="1" applyBorder="1"/>
    <xf numFmtId="0" fontId="0" fillId="3" borderId="17" xfId="0" applyFill="1" applyBorder="1"/>
    <xf numFmtId="4" fontId="4" fillId="2" borderId="0" xfId="9" applyNumberFormat="1" applyFont="1" applyFill="1"/>
    <xf numFmtId="3" fontId="4" fillId="2" borderId="0" xfId="9" applyNumberFormat="1" applyFont="1" applyFill="1"/>
    <xf numFmtId="3" fontId="4" fillId="2" borderId="0" xfId="9" applyNumberFormat="1" applyFont="1" applyFill="1" applyAlignment="1">
      <alignment horizontal="center" vertical="center"/>
    </xf>
    <xf numFmtId="3" fontId="0" fillId="0" borderId="0" xfId="0" applyNumberFormat="1"/>
    <xf numFmtId="173" fontId="4" fillId="2" borderId="0" xfId="9" applyNumberFormat="1" applyFont="1" applyFill="1" applyAlignment="1">
      <alignment horizontal="left"/>
    </xf>
    <xf numFmtId="0" fontId="7" fillId="5" borderId="0" xfId="0" applyFont="1" applyFill="1" applyAlignment="1">
      <alignment horizontal="center" vertical="center" wrapText="1"/>
    </xf>
    <xf numFmtId="10" fontId="28" fillId="5" borderId="0" xfId="0" applyNumberFormat="1" applyFont="1" applyFill="1" applyAlignment="1">
      <alignment vertical="center"/>
    </xf>
    <xf numFmtId="10" fontId="28" fillId="5" borderId="0" xfId="3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10" fontId="29" fillId="3" borderId="0" xfId="0" applyNumberFormat="1" applyFont="1" applyFill="1" applyAlignment="1">
      <alignment horizontal="center" vertical="center"/>
    </xf>
    <xf numFmtId="17" fontId="13" fillId="3" borderId="0" xfId="0" applyNumberFormat="1" applyFont="1" applyFill="1" applyAlignment="1">
      <alignment horizontal="center" vertical="center"/>
    </xf>
    <xf numFmtId="3" fontId="13" fillId="3" borderId="0" xfId="2" applyNumberFormat="1" applyFont="1" applyFill="1" applyBorder="1" applyAlignment="1">
      <alignment vertical="center"/>
    </xf>
    <xf numFmtId="10" fontId="0" fillId="0" borderId="0" xfId="0" applyNumberFormat="1"/>
    <xf numFmtId="0" fontId="30" fillId="0" borderId="0" xfId="0" applyFont="1" applyAlignment="1">
      <alignment vertical="center" wrapText="1"/>
    </xf>
    <xf numFmtId="0" fontId="32" fillId="3" borderId="0" xfId="0" applyFont="1" applyFill="1" applyAlignment="1">
      <alignment horizontal="center" vertical="center"/>
    </xf>
    <xf numFmtId="0" fontId="0" fillId="9" borderId="0" xfId="0" applyFill="1"/>
    <xf numFmtId="0" fontId="19" fillId="0" borderId="0" xfId="0" applyFont="1" applyAlignment="1">
      <alignment wrapText="1"/>
    </xf>
    <xf numFmtId="10" fontId="19" fillId="0" borderId="0" xfId="3" applyNumberFormat="1" applyFont="1"/>
    <xf numFmtId="3" fontId="19" fillId="0" borderId="0" xfId="0" applyNumberFormat="1" applyFont="1"/>
    <xf numFmtId="0" fontId="36" fillId="0" borderId="0" xfId="0" applyFont="1"/>
    <xf numFmtId="172" fontId="13" fillId="2" borderId="0" xfId="0" applyNumberFormat="1" applyFont="1" applyFill="1" applyAlignment="1">
      <alignment horizontal="left" wrapText="1"/>
    </xf>
    <xf numFmtId="10" fontId="4" fillId="0" borderId="0" xfId="3" applyNumberFormat="1" applyFont="1" applyAlignment="1">
      <alignment vertical="center"/>
    </xf>
    <xf numFmtId="0" fontId="37" fillId="0" borderId="0" xfId="0" applyFont="1" applyAlignment="1">
      <alignment vertical="center" wrapText="1"/>
    </xf>
    <xf numFmtId="0" fontId="21" fillId="0" borderId="0" xfId="0" applyFont="1" applyAlignment="1">
      <alignment horizontal="left"/>
    </xf>
    <xf numFmtId="43" fontId="19" fillId="0" borderId="0" xfId="1" applyFont="1"/>
    <xf numFmtId="3" fontId="21" fillId="0" borderId="0" xfId="0" applyNumberFormat="1" applyFont="1" applyAlignment="1">
      <alignment horizontal="left"/>
    </xf>
    <xf numFmtId="0" fontId="0" fillId="0" borderId="0" xfId="0" applyAlignment="1">
      <alignment horizontal="left" vertical="top"/>
    </xf>
    <xf numFmtId="0" fontId="41" fillId="0" borderId="0" xfId="0" applyFont="1"/>
    <xf numFmtId="0" fontId="2" fillId="3" borderId="0" xfId="0" applyFont="1" applyFill="1" applyAlignment="1">
      <alignment vertical="center"/>
    </xf>
    <xf numFmtId="0" fontId="34" fillId="3" borderId="0" xfId="0" applyFont="1" applyFill="1" applyAlignment="1">
      <alignment horizontal="center" vertical="center" wrapText="1"/>
    </xf>
    <xf numFmtId="43" fontId="34" fillId="3" borderId="0" xfId="1" applyFont="1" applyFill="1" applyBorder="1" applyAlignment="1" applyProtection="1">
      <alignment horizontal="right"/>
      <protection locked="0"/>
    </xf>
    <xf numFmtId="0" fontId="2" fillId="3" borderId="0" xfId="0" applyFont="1" applyFill="1" applyAlignment="1">
      <alignment horizontal="center" vertical="center"/>
    </xf>
    <xf numFmtId="49" fontId="35" fillId="3" borderId="0" xfId="2" applyNumberFormat="1" applyFont="1" applyFill="1" applyBorder="1" applyAlignment="1">
      <alignment horizontal="left"/>
    </xf>
    <xf numFmtId="0" fontId="6" fillId="3" borderId="0" xfId="0" applyFont="1" applyFill="1" applyAlignment="1">
      <alignment vertical="top"/>
    </xf>
    <xf numFmtId="0" fontId="42" fillId="0" borderId="0" xfId="0" applyFont="1" applyAlignment="1">
      <alignment horizontal="center" vertical="center" readingOrder="1"/>
    </xf>
    <xf numFmtId="43" fontId="0" fillId="3" borderId="0" xfId="0" applyNumberFormat="1" applyFill="1"/>
    <xf numFmtId="3" fontId="22" fillId="3" borderId="0" xfId="4" applyNumberFormat="1" applyFont="1" applyFill="1" applyAlignment="1">
      <alignment horizontal="center" vertical="center" wrapText="1"/>
    </xf>
    <xf numFmtId="0" fontId="0" fillId="9" borderId="0" xfId="0" applyFill="1" applyAlignment="1">
      <alignment horizontal="center"/>
    </xf>
    <xf numFmtId="3" fontId="0" fillId="3" borderId="0" xfId="0" applyNumberFormat="1" applyFill="1"/>
    <xf numFmtId="0" fontId="4" fillId="3" borderId="0" xfId="0" applyFont="1" applyFill="1"/>
    <xf numFmtId="0" fontId="4" fillId="3" borderId="0" xfId="9" applyFont="1" applyFill="1"/>
    <xf numFmtId="10" fontId="33" fillId="3" borderId="0" xfId="3" applyNumberFormat="1" applyFont="1" applyFill="1" applyBorder="1" applyAlignment="1">
      <alignment horizontal="right" vertical="center"/>
    </xf>
    <xf numFmtId="165" fontId="14" fillId="3" borderId="0" xfId="0" applyNumberFormat="1" applyFont="1" applyFill="1" applyAlignment="1">
      <alignment vertical="center"/>
    </xf>
    <xf numFmtId="0" fontId="42" fillId="0" borderId="0" xfId="0" applyFont="1" applyAlignment="1">
      <alignment horizontal="left" vertical="center" readingOrder="1"/>
    </xf>
    <xf numFmtId="0" fontId="5" fillId="9" borderId="0" xfId="0" applyFont="1" applyFill="1" applyAlignment="1">
      <alignment vertical="top"/>
    </xf>
    <xf numFmtId="0" fontId="6" fillId="9" borderId="0" xfId="0" applyFont="1" applyFill="1" applyAlignment="1">
      <alignment vertical="top"/>
    </xf>
    <xf numFmtId="10" fontId="17" fillId="0" borderId="0" xfId="1" applyNumberFormat="1" applyFont="1" applyAlignment="1"/>
    <xf numFmtId="0" fontId="9" fillId="0" borderId="0" xfId="0" applyFont="1"/>
    <xf numFmtId="166" fontId="4" fillId="3" borderId="0" xfId="1" applyNumberFormat="1" applyFont="1" applyFill="1" applyBorder="1" applyAlignment="1">
      <alignment horizontal="center" vertical="center"/>
    </xf>
    <xf numFmtId="2" fontId="16" fillId="3" borderId="0" xfId="9" applyNumberFormat="1" applyFont="1" applyFill="1"/>
    <xf numFmtId="3" fontId="13" fillId="3" borderId="0" xfId="2" applyNumberFormat="1" applyFont="1" applyFill="1" applyBorder="1" applyAlignment="1">
      <alignment horizontal="right" vertical="center"/>
    </xf>
    <xf numFmtId="0" fontId="4" fillId="3" borderId="0" xfId="9" applyFont="1" applyFill="1" applyAlignment="1">
      <alignment horizontal="center" vertical="center"/>
    </xf>
    <xf numFmtId="4" fontId="4" fillId="3" borderId="0" xfId="9" applyNumberFormat="1" applyFont="1" applyFill="1"/>
    <xf numFmtId="43" fontId="4" fillId="3" borderId="0" xfId="3" applyNumberFormat="1" applyFont="1" applyFill="1" applyBorder="1" applyAlignment="1">
      <alignment horizontal="center" vertical="center"/>
    </xf>
    <xf numFmtId="0" fontId="42" fillId="0" borderId="0" xfId="0" applyFont="1" applyAlignment="1">
      <alignment vertical="center" readingOrder="1"/>
    </xf>
    <xf numFmtId="0" fontId="4" fillId="9" borderId="0" xfId="9" applyFont="1" applyFill="1"/>
    <xf numFmtId="0" fontId="4" fillId="9" borderId="0" xfId="0" applyFont="1" applyFill="1"/>
    <xf numFmtId="0" fontId="6" fillId="9" borderId="0" xfId="0" applyFont="1" applyFill="1" applyAlignment="1">
      <alignment vertical="center"/>
    </xf>
    <xf numFmtId="0" fontId="19" fillId="9" borderId="0" xfId="0" applyFont="1" applyFill="1"/>
    <xf numFmtId="0" fontId="38" fillId="9" borderId="0" xfId="0" applyFont="1" applyFill="1" applyAlignment="1">
      <alignment vertical="center"/>
    </xf>
    <xf numFmtId="0" fontId="45" fillId="0" borderId="0" xfId="0" applyFont="1" applyAlignment="1">
      <alignment horizontal="center" vertical="center" wrapText="1"/>
    </xf>
    <xf numFmtId="164" fontId="45" fillId="0" borderId="0" xfId="0" applyNumberFormat="1" applyFont="1" applyAlignment="1">
      <alignment horizontal="center" vertical="center"/>
    </xf>
    <xf numFmtId="178" fontId="45" fillId="0" borderId="0" xfId="0" applyNumberFormat="1" applyFont="1" applyAlignment="1">
      <alignment horizontal="center" vertical="center" wrapText="1"/>
    </xf>
    <xf numFmtId="0" fontId="43" fillId="0" borderId="0" xfId="0" applyFont="1" applyAlignment="1">
      <alignment horizontal="left" vertical="center"/>
    </xf>
    <xf numFmtId="164" fontId="43" fillId="0" borderId="0" xfId="0" applyNumberFormat="1" applyFont="1" applyAlignment="1">
      <alignment horizontal="left" vertical="center"/>
    </xf>
    <xf numFmtId="178" fontId="43" fillId="0" borderId="0" xfId="0" applyNumberFormat="1" applyFont="1" applyAlignment="1">
      <alignment horizontal="left" vertical="center"/>
    </xf>
    <xf numFmtId="17" fontId="47" fillId="3" borderId="0" xfId="18" applyNumberFormat="1" applyFont="1" applyFill="1" applyAlignment="1">
      <alignment horizontal="left" vertical="top"/>
    </xf>
    <xf numFmtId="0" fontId="5" fillId="0" borderId="0" xfId="0" applyFont="1"/>
    <xf numFmtId="0" fontId="48" fillId="0" borderId="0" xfId="0" applyFont="1"/>
    <xf numFmtId="43" fontId="48" fillId="0" borderId="0" xfId="0" applyNumberFormat="1" applyFont="1"/>
    <xf numFmtId="0" fontId="49" fillId="0" borderId="0" xfId="0" applyFont="1" applyAlignment="1">
      <alignment vertical="center" wrapText="1"/>
    </xf>
    <xf numFmtId="0" fontId="48" fillId="0" borderId="0" xfId="0" applyFont="1" applyAlignment="1">
      <alignment vertical="center"/>
    </xf>
    <xf numFmtId="0" fontId="34" fillId="0" borderId="0" xfId="0" applyFont="1"/>
    <xf numFmtId="0" fontId="42" fillId="3" borderId="0" xfId="0" applyFont="1" applyFill="1" applyAlignment="1">
      <alignment horizontal="left" vertical="center" readingOrder="1"/>
    </xf>
    <xf numFmtId="171" fontId="0" fillId="0" borderId="0" xfId="0" applyNumberFormat="1"/>
    <xf numFmtId="179" fontId="0" fillId="0" borderId="0" xfId="0" applyNumberFormat="1"/>
    <xf numFmtId="171" fontId="4" fillId="2" borderId="0" xfId="3" applyNumberFormat="1" applyFont="1" applyFill="1" applyAlignment="1">
      <alignment horizontal="center" vertical="center"/>
    </xf>
    <xf numFmtId="10" fontId="3" fillId="3" borderId="0" xfId="3" applyNumberFormat="1" applyFont="1" applyFill="1" applyAlignment="1">
      <alignment vertical="center"/>
    </xf>
    <xf numFmtId="176" fontId="3" fillId="3" borderId="0" xfId="13" applyNumberFormat="1" applyFill="1" applyAlignment="1">
      <alignment vertical="center"/>
    </xf>
    <xf numFmtId="0" fontId="33" fillId="3" borderId="0" xfId="0" applyFont="1" applyFill="1" applyAlignment="1">
      <alignment horizontal="center" vertical="center" wrapText="1"/>
    </xf>
    <xf numFmtId="4" fontId="33" fillId="3" borderId="0" xfId="0" applyNumberFormat="1" applyFont="1" applyFill="1" applyAlignment="1">
      <alignment horizontal="right" vertical="center"/>
    </xf>
    <xf numFmtId="17" fontId="2" fillId="3" borderId="0" xfId="0" applyNumberFormat="1" applyFont="1" applyFill="1" applyAlignment="1">
      <alignment horizontal="center"/>
    </xf>
    <xf numFmtId="165" fontId="2" fillId="3" borderId="0" xfId="2" applyNumberFormat="1" applyFont="1" applyFill="1" applyBorder="1" applyAlignment="1">
      <alignment horizontal="right"/>
    </xf>
    <xf numFmtId="0" fontId="5" fillId="3" borderId="0" xfId="0" applyFont="1" applyFill="1" applyAlignment="1">
      <alignment horizontal="center" vertical="top"/>
    </xf>
    <xf numFmtId="0" fontId="5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top"/>
    </xf>
    <xf numFmtId="43" fontId="7" fillId="3" borderId="0" xfId="1" applyFont="1" applyFill="1" applyAlignment="1">
      <alignment horizontal="center" vertical="center"/>
    </xf>
    <xf numFmtId="9" fontId="5" fillId="3" borderId="0" xfId="0" applyNumberFormat="1" applyFont="1" applyFill="1" applyAlignment="1">
      <alignment vertical="top"/>
    </xf>
    <xf numFmtId="9" fontId="5" fillId="3" borderId="0" xfId="0" applyNumberFormat="1" applyFont="1" applyFill="1" applyAlignment="1">
      <alignment horizontal="center" vertical="top"/>
    </xf>
    <xf numFmtId="43" fontId="5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43" fontId="13" fillId="3" borderId="0" xfId="1" applyFont="1" applyFill="1" applyAlignment="1">
      <alignment vertical="top"/>
    </xf>
    <xf numFmtId="166" fontId="4" fillId="2" borderId="0" xfId="1" applyNumberFormat="1" applyFont="1" applyFill="1" applyAlignment="1">
      <alignment vertical="center"/>
    </xf>
    <xf numFmtId="9" fontId="42" fillId="0" borderId="0" xfId="3" applyFont="1" applyAlignment="1">
      <alignment vertical="center" readingOrder="1"/>
    </xf>
    <xf numFmtId="43" fontId="42" fillId="0" borderId="0" xfId="1" applyFont="1" applyAlignment="1">
      <alignment vertical="center" readingOrder="1"/>
    </xf>
    <xf numFmtId="10" fontId="4" fillId="2" borderId="0" xfId="3" applyNumberFormat="1" applyFont="1" applyFill="1" applyAlignment="1">
      <alignment vertical="center"/>
    </xf>
    <xf numFmtId="43" fontId="4" fillId="2" borderId="0" xfId="1" applyFont="1" applyFill="1"/>
    <xf numFmtId="166" fontId="19" fillId="0" borderId="0" xfId="1" applyNumberFormat="1" applyFont="1"/>
    <xf numFmtId="10" fontId="4" fillId="3" borderId="0" xfId="9" applyNumberFormat="1" applyFont="1" applyFill="1"/>
    <xf numFmtId="10" fontId="4" fillId="2" borderId="0" xfId="9" applyNumberFormat="1" applyFont="1" applyFill="1"/>
    <xf numFmtId="166" fontId="19" fillId="0" borderId="0" xfId="0" applyNumberFormat="1" applyFont="1"/>
    <xf numFmtId="10" fontId="48" fillId="0" borderId="0" xfId="0" applyNumberFormat="1" applyFont="1"/>
    <xf numFmtId="10" fontId="49" fillId="0" borderId="0" xfId="0" applyNumberFormat="1" applyFont="1" applyAlignment="1">
      <alignment vertical="center" wrapText="1"/>
    </xf>
    <xf numFmtId="10" fontId="4" fillId="0" borderId="0" xfId="0" applyNumberFormat="1" applyFont="1" applyAlignment="1">
      <alignment vertical="center"/>
    </xf>
    <xf numFmtId="10" fontId="48" fillId="0" borderId="0" xfId="0" applyNumberFormat="1" applyFont="1" applyAlignment="1">
      <alignment vertical="center"/>
    </xf>
    <xf numFmtId="43" fontId="1" fillId="0" borderId="0" xfId="1" applyFont="1"/>
    <xf numFmtId="3" fontId="1" fillId="0" borderId="0" xfId="2" applyNumberFormat="1" applyFont="1" applyFill="1" applyBorder="1" applyAlignment="1" applyProtection="1">
      <alignment horizontal="right"/>
      <protection locked="0"/>
    </xf>
    <xf numFmtId="43" fontId="53" fillId="0" borderId="0" xfId="1" applyFont="1" applyAlignment="1">
      <alignment vertical="center" wrapText="1"/>
    </xf>
    <xf numFmtId="43" fontId="1" fillId="0" borderId="0" xfId="1" applyFont="1" applyAlignment="1">
      <alignment horizontal="left"/>
    </xf>
    <xf numFmtId="3" fontId="0" fillId="0" borderId="0" xfId="0" applyNumberFormat="1" applyAlignment="1">
      <alignment horizontal="left"/>
    </xf>
    <xf numFmtId="20" fontId="0" fillId="0" borderId="0" xfId="0" applyNumberFormat="1"/>
    <xf numFmtId="180" fontId="48" fillId="0" borderId="0" xfId="0" applyNumberFormat="1" applyFont="1"/>
    <xf numFmtId="43" fontId="48" fillId="0" borderId="0" xfId="1" applyFont="1" applyAlignment="1">
      <alignment vertical="center"/>
    </xf>
    <xf numFmtId="4" fontId="48" fillId="0" borderId="0" xfId="0" applyNumberFormat="1" applyFont="1"/>
    <xf numFmtId="9" fontId="0" fillId="0" borderId="0" xfId="3" applyFont="1"/>
    <xf numFmtId="4" fontId="0" fillId="3" borderId="0" xfId="0" applyNumberFormat="1" applyFill="1"/>
    <xf numFmtId="0" fontId="0" fillId="3" borderId="0" xfId="0" applyFill="1" applyAlignment="1">
      <alignment horizontal="center" vertical="center"/>
    </xf>
    <xf numFmtId="0" fontId="5" fillId="2" borderId="0" xfId="0" applyFont="1" applyFill="1"/>
    <xf numFmtId="0" fontId="5" fillId="2" borderId="0" xfId="9" applyFont="1" applyFill="1"/>
    <xf numFmtId="8" fontId="5" fillId="2" borderId="0" xfId="9" applyNumberFormat="1" applyFont="1" applyFill="1"/>
    <xf numFmtId="0" fontId="5" fillId="2" borderId="0" xfId="9" applyFont="1" applyFill="1" applyAlignment="1">
      <alignment horizontal="center" vertical="center"/>
    </xf>
    <xf numFmtId="0" fontId="13" fillId="3" borderId="0" xfId="0" applyFont="1" applyFill="1"/>
    <xf numFmtId="0" fontId="13" fillId="0" borderId="0" xfId="0" applyFont="1"/>
    <xf numFmtId="0" fontId="16" fillId="0" borderId="0" xfId="0" applyFont="1"/>
    <xf numFmtId="0" fontId="16" fillId="2" borderId="0" xfId="9" applyFont="1" applyFill="1"/>
    <xf numFmtId="0" fontId="56" fillId="0" borderId="0" xfId="0" applyFont="1"/>
    <xf numFmtId="0" fontId="5" fillId="3" borderId="0" xfId="0" applyFont="1" applyFill="1" applyAlignment="1">
      <alignment horizontal="left" vertical="center"/>
    </xf>
    <xf numFmtId="0" fontId="57" fillId="0" borderId="0" xfId="0" applyFont="1"/>
    <xf numFmtId="0" fontId="14" fillId="3" borderId="0" xfId="0" applyFont="1" applyFill="1" applyAlignment="1">
      <alignment horizontal="left" vertical="center" wrapText="1"/>
    </xf>
    <xf numFmtId="3" fontId="14" fillId="3" borderId="0" xfId="0" applyNumberFormat="1" applyFont="1" applyFill="1" applyAlignment="1">
      <alignment horizontal="right" vertical="center"/>
    </xf>
    <xf numFmtId="0" fontId="4" fillId="0" borderId="0" xfId="9" applyFont="1"/>
    <xf numFmtId="0" fontId="4" fillId="0" borderId="0" xfId="9" applyFont="1" applyAlignment="1">
      <alignment horizontal="center" vertical="center"/>
    </xf>
    <xf numFmtId="0" fontId="2" fillId="9" borderId="1" xfId="4" applyFont="1" applyFill="1" applyBorder="1" applyAlignment="1">
      <alignment horizontal="center" vertical="center" wrapText="1"/>
    </xf>
    <xf numFmtId="17" fontId="13" fillId="0" borderId="1" xfId="0" applyNumberFormat="1" applyFont="1" applyBorder="1" applyAlignment="1">
      <alignment horizontal="center" vertical="center"/>
    </xf>
    <xf numFmtId="4" fontId="13" fillId="3" borderId="1" xfId="2" applyNumberFormat="1" applyFont="1" applyFill="1" applyBorder="1" applyAlignment="1">
      <alignment horizontal="right" vertical="center"/>
    </xf>
    <xf numFmtId="17" fontId="13" fillId="0" borderId="1" xfId="0" applyNumberFormat="1" applyFont="1" applyBorder="1" applyAlignment="1">
      <alignment horizontal="left"/>
    </xf>
    <xf numFmtId="17" fontId="13" fillId="0" borderId="1" xfId="0" applyNumberFormat="1" applyFont="1" applyBorder="1" applyAlignment="1">
      <alignment horizontal="center"/>
    </xf>
    <xf numFmtId="3" fontId="13" fillId="3" borderId="1" xfId="2" applyNumberFormat="1" applyFont="1" applyFill="1" applyBorder="1" applyAlignment="1">
      <alignment horizontal="right"/>
    </xf>
    <xf numFmtId="17" fontId="2" fillId="9" borderId="1" xfId="0" applyNumberFormat="1" applyFont="1" applyFill="1" applyBorder="1" applyAlignment="1">
      <alignment horizontal="center" vertical="center"/>
    </xf>
    <xf numFmtId="165" fontId="2" fillId="9" borderId="1" xfId="2" applyNumberFormat="1" applyFont="1" applyFill="1" applyBorder="1" applyAlignment="1">
      <alignment horizontal="right" vertical="center"/>
    </xf>
    <xf numFmtId="0" fontId="15" fillId="9" borderId="1" xfId="0" applyFont="1" applyFill="1" applyBorder="1" applyAlignment="1">
      <alignment horizontal="center" vertical="center"/>
    </xf>
    <xf numFmtId="166" fontId="13" fillId="3" borderId="1" xfId="1" applyNumberFormat="1" applyFont="1" applyFill="1" applyBorder="1" applyAlignment="1">
      <alignment horizontal="right"/>
    </xf>
    <xf numFmtId="9" fontId="13" fillId="3" borderId="1" xfId="0" applyNumberFormat="1" applyFont="1" applyFill="1" applyBorder="1" applyAlignment="1">
      <alignment horizontal="right"/>
    </xf>
    <xf numFmtId="2" fontId="13" fillId="3" borderId="1" xfId="0" applyNumberFormat="1" applyFont="1" applyFill="1" applyBorder="1" applyAlignment="1">
      <alignment horizontal="right"/>
    </xf>
    <xf numFmtId="43" fontId="14" fillId="3" borderId="1" xfId="1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 vertical="center"/>
    </xf>
    <xf numFmtId="43" fontId="2" fillId="9" borderId="1" xfId="0" applyNumberFormat="1" applyFont="1" applyFill="1" applyBorder="1" applyAlignment="1">
      <alignment horizontal="center"/>
    </xf>
    <xf numFmtId="166" fontId="13" fillId="3" borderId="1" xfId="1" applyNumberFormat="1" applyFont="1" applyFill="1" applyBorder="1" applyAlignment="1" applyProtection="1">
      <alignment horizontal="center"/>
      <protection locked="0"/>
    </xf>
    <xf numFmtId="17" fontId="13" fillId="3" borderId="1" xfId="0" applyNumberFormat="1" applyFont="1" applyFill="1" applyBorder="1" applyAlignment="1">
      <alignment horizontal="center"/>
    </xf>
    <xf numFmtId="166" fontId="13" fillId="10" borderId="1" xfId="1" applyNumberFormat="1" applyFont="1" applyFill="1" applyBorder="1" applyAlignment="1">
      <alignment horizontal="center"/>
    </xf>
    <xf numFmtId="166" fontId="13" fillId="10" borderId="1" xfId="1" applyNumberFormat="1" applyFont="1" applyFill="1" applyBorder="1" applyAlignment="1">
      <alignment horizontal="right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 vertical="center" wrapText="1"/>
    </xf>
    <xf numFmtId="17" fontId="13" fillId="0" borderId="1" xfId="0" applyNumberFormat="1" applyFont="1" applyBorder="1" applyAlignment="1">
      <alignment horizontal="left" vertical="center" wrapText="1"/>
    </xf>
    <xf numFmtId="17" fontId="13" fillId="7" borderId="1" xfId="0" applyNumberFormat="1" applyFont="1" applyFill="1" applyBorder="1" applyAlignment="1">
      <alignment horizontal="left" vertical="center" wrapText="1"/>
    </xf>
    <xf numFmtId="3" fontId="13" fillId="0" borderId="1" xfId="8" applyNumberFormat="1" applyFont="1" applyFill="1" applyBorder="1" applyAlignment="1">
      <alignment horizontal="center" vertical="center"/>
    </xf>
    <xf numFmtId="10" fontId="13" fillId="3" borderId="1" xfId="0" applyNumberFormat="1" applyFont="1" applyFill="1" applyBorder="1" applyAlignment="1">
      <alignment horizontal="center" vertical="center" wrapText="1"/>
    </xf>
    <xf numFmtId="10" fontId="13" fillId="3" borderId="1" xfId="2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7" borderId="1" xfId="0" applyFont="1" applyFill="1" applyBorder="1" applyAlignment="1">
      <alignment vertical="center" wrapText="1"/>
    </xf>
    <xf numFmtId="3" fontId="61" fillId="5" borderId="1" xfId="0" applyNumberFormat="1" applyFont="1" applyFill="1" applyBorder="1" applyAlignment="1">
      <alignment horizontal="center" vertical="center" wrapText="1"/>
    </xf>
    <xf numFmtId="10" fontId="61" fillId="5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10" fontId="13" fillId="3" borderId="1" xfId="3" applyNumberFormat="1" applyFont="1" applyFill="1" applyBorder="1" applyAlignment="1">
      <alignment horizontal="center" vertical="center" wrapText="1"/>
    </xf>
    <xf numFmtId="10" fontId="2" fillId="9" borderId="1" xfId="0" applyNumberFormat="1" applyFont="1" applyFill="1" applyBorder="1" applyAlignment="1">
      <alignment horizontal="center" vertical="center"/>
    </xf>
    <xf numFmtId="17" fontId="13" fillId="0" borderId="1" xfId="0" applyNumberFormat="1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0" fontId="14" fillId="3" borderId="1" xfId="3" applyNumberFormat="1" applyFont="1" applyFill="1" applyBorder="1" applyAlignment="1">
      <alignment horizontal="center" vertical="center"/>
    </xf>
    <xf numFmtId="17" fontId="14" fillId="3" borderId="1" xfId="0" applyNumberFormat="1" applyFont="1" applyFill="1" applyBorder="1" applyAlignment="1">
      <alignment horizontal="center" vertical="center" wrapText="1"/>
    </xf>
    <xf numFmtId="169" fontId="14" fillId="3" borderId="1" xfId="0" applyNumberFormat="1" applyFont="1" applyFill="1" applyBorder="1" applyAlignment="1">
      <alignment horizontal="center" vertical="center" wrapText="1"/>
    </xf>
    <xf numFmtId="10" fontId="2" fillId="9" borderId="1" xfId="3" applyNumberFormat="1" applyFont="1" applyFill="1" applyBorder="1" applyAlignment="1">
      <alignment vertical="center"/>
    </xf>
    <xf numFmtId="0" fontId="17" fillId="9" borderId="1" xfId="0" applyFont="1" applyFill="1" applyBorder="1" applyAlignment="1">
      <alignment horizontal="center" vertical="center" wrapText="1"/>
    </xf>
    <xf numFmtId="3" fontId="13" fillId="10" borderId="1" xfId="2" applyNumberFormat="1" applyFont="1" applyFill="1" applyBorder="1" applyAlignment="1" applyProtection="1">
      <alignment horizontal="right"/>
      <protection locked="0"/>
    </xf>
    <xf numFmtId="10" fontId="2" fillId="9" borderId="1" xfId="3" applyNumberFormat="1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17" fontId="17" fillId="11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3" fontId="13" fillId="10" borderId="1" xfId="0" applyNumberFormat="1" applyFont="1" applyFill="1" applyBorder="1"/>
    <xf numFmtId="3" fontId="2" fillId="11" borderId="1" xfId="0" applyNumberFormat="1" applyFont="1" applyFill="1" applyBorder="1" applyAlignment="1">
      <alignment vertical="center"/>
    </xf>
    <xf numFmtId="3" fontId="13" fillId="3" borderId="1" xfId="2" applyNumberFormat="1" applyFont="1" applyFill="1" applyBorder="1" applyAlignment="1" applyProtection="1">
      <alignment horizontal="right"/>
      <protection locked="0"/>
    </xf>
    <xf numFmtId="3" fontId="13" fillId="3" borderId="1" xfId="0" applyNumberFormat="1" applyFont="1" applyFill="1" applyBorder="1"/>
    <xf numFmtId="3" fontId="2" fillId="9" borderId="1" xfId="0" applyNumberFormat="1" applyFont="1" applyFill="1" applyBorder="1" applyAlignment="1">
      <alignment vertical="center"/>
    </xf>
    <xf numFmtId="3" fontId="14" fillId="8" borderId="1" xfId="0" applyNumberFormat="1" applyFont="1" applyFill="1" applyBorder="1" applyAlignment="1">
      <alignment vertical="center"/>
    </xf>
    <xf numFmtId="0" fontId="14" fillId="8" borderId="1" xfId="0" applyFont="1" applyFill="1" applyBorder="1" applyAlignment="1">
      <alignment horizontal="left" vertical="center"/>
    </xf>
    <xf numFmtId="3" fontId="13" fillId="10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3" fontId="13" fillId="3" borderId="1" xfId="0" applyNumberFormat="1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4" fontId="14" fillId="3" borderId="1" xfId="0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 wrapText="1"/>
    </xf>
    <xf numFmtId="4" fontId="13" fillId="3" borderId="1" xfId="0" applyNumberFormat="1" applyFont="1" applyFill="1" applyBorder="1" applyAlignment="1">
      <alignment horizontal="right" vertical="center"/>
    </xf>
    <xf numFmtId="43" fontId="2" fillId="9" borderId="1" xfId="1" applyFont="1" applyFill="1" applyBorder="1" applyAlignment="1">
      <alignment horizontal="center" vertical="center" wrapText="1"/>
    </xf>
    <xf numFmtId="17" fontId="13" fillId="3" borderId="1" xfId="0" applyNumberFormat="1" applyFont="1" applyFill="1" applyBorder="1" applyAlignment="1">
      <alignment vertical="center"/>
    </xf>
    <xf numFmtId="17" fontId="13" fillId="3" borderId="1" xfId="0" applyNumberFormat="1" applyFont="1" applyFill="1" applyBorder="1" applyAlignment="1">
      <alignment horizontal="center" vertical="center"/>
    </xf>
    <xf numFmtId="4" fontId="13" fillId="5" borderId="1" xfId="0" applyNumberFormat="1" applyFont="1" applyFill="1" applyBorder="1" applyAlignment="1">
      <alignment horizontal="right" vertical="center"/>
    </xf>
    <xf numFmtId="17" fontId="51" fillId="9" borderId="1" xfId="0" applyNumberFormat="1" applyFont="1" applyFill="1" applyBorder="1" applyAlignment="1">
      <alignment horizontal="center" vertical="center"/>
    </xf>
    <xf numFmtId="169" fontId="2" fillId="9" borderId="1" xfId="0" applyNumberFormat="1" applyFont="1" applyFill="1" applyBorder="1" applyAlignment="1">
      <alignment horizontal="right" vertical="center" wrapText="1"/>
    </xf>
    <xf numFmtId="3" fontId="22" fillId="9" borderId="1" xfId="4" applyNumberFormat="1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vertical="center"/>
    </xf>
    <xf numFmtId="43" fontId="17" fillId="9" borderId="1" xfId="1" applyFont="1" applyFill="1" applyBorder="1" applyAlignment="1">
      <alignment horizontal="center" vertical="center"/>
    </xf>
    <xf numFmtId="4" fontId="17" fillId="9" borderId="1" xfId="0" applyNumberFormat="1" applyFont="1" applyFill="1" applyBorder="1" applyAlignment="1">
      <alignment horizontal="center"/>
    </xf>
    <xf numFmtId="4" fontId="14" fillId="3" borderId="1" xfId="0" applyNumberFormat="1" applyFont="1" applyFill="1" applyBorder="1"/>
    <xf numFmtId="4" fontId="14" fillId="3" borderId="1" xfId="0" applyNumberFormat="1" applyFont="1" applyFill="1" applyBorder="1" applyAlignment="1">
      <alignment horizontal="center"/>
    </xf>
    <xf numFmtId="43" fontId="14" fillId="3" borderId="1" xfId="1" applyFont="1" applyFill="1" applyBorder="1" applyAlignment="1">
      <alignment horizontal="right"/>
    </xf>
    <xf numFmtId="3" fontId="13" fillId="3" borderId="1" xfId="0" applyNumberFormat="1" applyFont="1" applyFill="1" applyBorder="1" applyAlignment="1">
      <alignment horizontal="center"/>
    </xf>
    <xf numFmtId="3" fontId="13" fillId="3" borderId="1" xfId="0" applyNumberFormat="1" applyFont="1" applyFill="1" applyBorder="1" applyAlignment="1">
      <alignment horizontal="right"/>
    </xf>
    <xf numFmtId="3" fontId="13" fillId="0" borderId="1" xfId="2" applyNumberFormat="1" applyFont="1" applyFill="1" applyBorder="1" applyAlignment="1" applyProtection="1">
      <alignment horizontal="right"/>
      <protection locked="0"/>
    </xf>
    <xf numFmtId="3" fontId="14" fillId="3" borderId="1" xfId="0" applyNumberFormat="1" applyFont="1" applyFill="1" applyBorder="1"/>
    <xf numFmtId="3" fontId="14" fillId="3" borderId="1" xfId="0" applyNumberFormat="1" applyFont="1" applyFill="1" applyBorder="1" applyAlignment="1">
      <alignment horizontal="center"/>
    </xf>
    <xf numFmtId="3" fontId="14" fillId="3" borderId="1" xfId="0" applyNumberFormat="1" applyFont="1" applyFill="1" applyBorder="1" applyAlignment="1">
      <alignment horizontal="right"/>
    </xf>
    <xf numFmtId="0" fontId="13" fillId="3" borderId="1" xfId="0" applyFont="1" applyFill="1" applyBorder="1"/>
    <xf numFmtId="0" fontId="13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vertical="center"/>
    </xf>
    <xf numFmtId="0" fontId="14" fillId="3" borderId="1" xfId="0" applyFont="1" applyFill="1" applyBorder="1"/>
    <xf numFmtId="181" fontId="14" fillId="3" borderId="1" xfId="0" applyNumberFormat="1" applyFont="1" applyFill="1" applyBorder="1" applyAlignment="1">
      <alignment horizontal="right"/>
    </xf>
    <xf numFmtId="3" fontId="13" fillId="3" borderId="1" xfId="0" applyNumberFormat="1" applyFont="1" applyFill="1" applyBorder="1" applyAlignment="1">
      <alignment horizontal="left"/>
    </xf>
    <xf numFmtId="4" fontId="13" fillId="3" borderId="1" xfId="0" applyNumberFormat="1" applyFont="1" applyFill="1" applyBorder="1" applyAlignment="1">
      <alignment horizontal="center"/>
    </xf>
    <xf numFmtId="175" fontId="13" fillId="3" borderId="1" xfId="0" applyNumberFormat="1" applyFont="1" applyFill="1" applyBorder="1" applyAlignment="1">
      <alignment horizontal="right"/>
    </xf>
    <xf numFmtId="3" fontId="13" fillId="0" borderId="1" xfId="0" applyNumberFormat="1" applyFont="1" applyBorder="1" applyAlignment="1">
      <alignment horizontal="left"/>
    </xf>
    <xf numFmtId="4" fontId="13" fillId="0" borderId="1" xfId="0" applyNumberFormat="1" applyFont="1" applyBorder="1" applyAlignment="1">
      <alignment horizontal="center"/>
    </xf>
    <xf numFmtId="3" fontId="13" fillId="10" borderId="1" xfId="0" applyNumberFormat="1" applyFont="1" applyFill="1" applyBorder="1" applyAlignment="1">
      <alignment horizontal="center"/>
    </xf>
    <xf numFmtId="175" fontId="13" fillId="10" borderId="1" xfId="0" applyNumberFormat="1" applyFont="1" applyFill="1" applyBorder="1" applyAlignment="1">
      <alignment horizontal="right"/>
    </xf>
    <xf numFmtId="0" fontId="2" fillId="9" borderId="1" xfId="0" applyFont="1" applyFill="1" applyBorder="1"/>
    <xf numFmtId="175" fontId="2" fillId="9" borderId="1" xfId="0" applyNumberFormat="1" applyFont="1" applyFill="1" applyBorder="1"/>
    <xf numFmtId="0" fontId="13" fillId="0" borderId="1" xfId="0" applyFont="1" applyBorder="1" applyAlignment="1">
      <alignment horizontal="center"/>
    </xf>
    <xf numFmtId="166" fontId="13" fillId="0" borderId="1" xfId="1" applyNumberFormat="1" applyFont="1" applyBorder="1"/>
    <xf numFmtId="10" fontId="13" fillId="0" borderId="1" xfId="3" applyNumberFormat="1" applyFont="1" applyBorder="1"/>
    <xf numFmtId="174" fontId="13" fillId="0" borderId="1" xfId="1" applyNumberFormat="1" applyFont="1" applyBorder="1"/>
    <xf numFmtId="166" fontId="2" fillId="9" borderId="1" xfId="1" applyNumberFormat="1" applyFont="1" applyFill="1" applyBorder="1"/>
    <xf numFmtId="174" fontId="2" fillId="9" borderId="1" xfId="1" applyNumberFormat="1" applyFont="1" applyFill="1" applyBorder="1"/>
    <xf numFmtId="3" fontId="13" fillId="10" borderId="1" xfId="2" applyNumberFormat="1" applyFont="1" applyFill="1" applyBorder="1" applyAlignment="1">
      <alignment horizontal="right" vertical="center"/>
    </xf>
    <xf numFmtId="3" fontId="13" fillId="10" borderId="1" xfId="2" applyNumberFormat="1" applyFont="1" applyFill="1" applyBorder="1" applyAlignment="1">
      <alignment vertical="center"/>
    </xf>
    <xf numFmtId="165" fontId="13" fillId="10" borderId="1" xfId="2" applyNumberFormat="1" applyFont="1" applyFill="1" applyBorder="1" applyAlignment="1">
      <alignment horizontal="center" vertical="center"/>
    </xf>
    <xf numFmtId="165" fontId="2" fillId="9" borderId="1" xfId="0" applyNumberFormat="1" applyFont="1" applyFill="1" applyBorder="1" applyAlignment="1">
      <alignment horizontal="center" vertical="center"/>
    </xf>
    <xf numFmtId="0" fontId="44" fillId="9" borderId="1" xfId="0" applyFont="1" applyFill="1" applyBorder="1" applyAlignment="1">
      <alignment horizontal="center" vertical="center" wrapText="1"/>
    </xf>
    <xf numFmtId="0" fontId="55" fillId="0" borderId="1" xfId="0" applyFont="1" applyBorder="1" applyAlignment="1">
      <alignment horizontal="center" vertical="center" wrapText="1"/>
    </xf>
    <xf numFmtId="178" fontId="55" fillId="1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right" vertical="center"/>
    </xf>
    <xf numFmtId="10" fontId="17" fillId="0" borderId="0" xfId="3" applyNumberFormat="1" applyFont="1" applyAlignment="1">
      <alignment horizontal="center"/>
    </xf>
    <xf numFmtId="3" fontId="13" fillId="5" borderId="1" xfId="0" applyNumberFormat="1" applyFont="1" applyFill="1" applyBorder="1" applyAlignment="1">
      <alignment horizontal="right" vertical="center"/>
    </xf>
    <xf numFmtId="165" fontId="4" fillId="2" borderId="0" xfId="9" applyNumberFormat="1" applyFont="1" applyFill="1"/>
    <xf numFmtId="171" fontId="4" fillId="2" borderId="0" xfId="1" applyNumberFormat="1" applyFont="1" applyFill="1"/>
    <xf numFmtId="10" fontId="15" fillId="9" borderId="19" xfId="3" applyNumberFormat="1" applyFont="1" applyFill="1" applyBorder="1" applyAlignment="1">
      <alignment vertical="center"/>
    </xf>
    <xf numFmtId="182" fontId="48" fillId="0" borderId="0" xfId="1" applyNumberFormat="1" applyFont="1" applyAlignment="1">
      <alignment vertical="center"/>
    </xf>
    <xf numFmtId="183" fontId="48" fillId="0" borderId="0" xfId="0" applyNumberFormat="1" applyFont="1"/>
    <xf numFmtId="169" fontId="5" fillId="0" borderId="0" xfId="0" applyNumberFormat="1" applyFont="1"/>
    <xf numFmtId="10" fontId="7" fillId="3" borderId="0" xfId="3" applyNumberFormat="1" applyFont="1" applyFill="1" applyAlignment="1">
      <alignment horizontal="center" vertical="center" wrapText="1"/>
    </xf>
    <xf numFmtId="10" fontId="5" fillId="0" borderId="0" xfId="3" applyNumberFormat="1" applyFont="1"/>
    <xf numFmtId="10" fontId="42" fillId="0" borderId="0" xfId="3" applyNumberFormat="1" applyFont="1" applyAlignment="1">
      <alignment vertical="center" readingOrder="1"/>
    </xf>
    <xf numFmtId="164" fontId="55" fillId="10" borderId="1" xfId="0" applyNumberFormat="1" applyFont="1" applyFill="1" applyBorder="1" applyAlignment="1">
      <alignment horizontal="center" vertical="center" wrapText="1"/>
    </xf>
    <xf numFmtId="10" fontId="63" fillId="3" borderId="0" xfId="3" applyNumberFormat="1" applyFont="1" applyFill="1" applyBorder="1" applyAlignment="1">
      <alignment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9" fontId="4" fillId="2" borderId="0" xfId="1" applyNumberFormat="1" applyFont="1" applyFill="1" applyAlignment="1">
      <alignment vertical="center"/>
    </xf>
    <xf numFmtId="10" fontId="4" fillId="0" borderId="0" xfId="3" applyNumberFormat="1" applyFont="1"/>
    <xf numFmtId="43" fontId="4" fillId="2" borderId="0" xfId="9" applyNumberFormat="1" applyFont="1" applyFill="1" applyAlignment="1">
      <alignment horizontal="center" vertical="center"/>
    </xf>
    <xf numFmtId="171" fontId="13" fillId="3" borderId="0" xfId="1" applyNumberFormat="1" applyFont="1" applyFill="1" applyBorder="1" applyAlignment="1">
      <alignment horizontal="right"/>
    </xf>
    <xf numFmtId="43" fontId="13" fillId="3" borderId="1" xfId="1" applyFont="1" applyFill="1" applyBorder="1" applyAlignment="1" applyProtection="1">
      <alignment horizontal="right"/>
      <protection locked="0"/>
    </xf>
    <xf numFmtId="17" fontId="51" fillId="9" borderId="18" xfId="0" applyNumberFormat="1" applyFont="1" applyFill="1" applyBorder="1" applyAlignment="1">
      <alignment horizontal="center" vertical="center"/>
    </xf>
    <xf numFmtId="4" fontId="0" fillId="0" borderId="0" xfId="0" applyNumberFormat="1"/>
    <xf numFmtId="3" fontId="0" fillId="0" borderId="1" xfId="0" applyNumberFormat="1" applyBorder="1"/>
    <xf numFmtId="3" fontId="42" fillId="0" borderId="0" xfId="0" applyNumberFormat="1" applyFont="1" applyAlignment="1">
      <alignment vertical="center" readingOrder="1"/>
    </xf>
    <xf numFmtId="181" fontId="14" fillId="10" borderId="1" xfId="0" applyNumberFormat="1" applyFont="1" applyFill="1" applyBorder="1" applyAlignment="1">
      <alignment horizontal="right"/>
    </xf>
    <xf numFmtId="10" fontId="0" fillId="3" borderId="0" xfId="0" applyNumberFormat="1" applyFill="1"/>
    <xf numFmtId="186" fontId="0" fillId="3" borderId="0" xfId="0" applyNumberFormat="1" applyFill="1"/>
    <xf numFmtId="0" fontId="0" fillId="3" borderId="0" xfId="0" applyFill="1" applyAlignment="1">
      <alignment horizontal="right"/>
    </xf>
    <xf numFmtId="10" fontId="3" fillId="3" borderId="0" xfId="13" applyNumberFormat="1" applyFill="1"/>
    <xf numFmtId="10" fontId="3" fillId="3" borderId="0" xfId="3" applyNumberFormat="1" applyFont="1" applyFill="1"/>
    <xf numFmtId="10" fontId="66" fillId="6" borderId="24" xfId="3" applyNumberFormat="1" applyFont="1" applyFill="1" applyBorder="1" applyAlignment="1">
      <alignment vertical="center"/>
    </xf>
    <xf numFmtId="0" fontId="66" fillId="6" borderId="24" xfId="14" applyFont="1" applyFill="1" applyBorder="1" applyAlignment="1">
      <alignment vertical="center"/>
    </xf>
    <xf numFmtId="10" fontId="3" fillId="3" borderId="0" xfId="13" applyNumberFormat="1" applyFill="1" applyAlignment="1">
      <alignment vertical="center"/>
    </xf>
    <xf numFmtId="9" fontId="0" fillId="3" borderId="0" xfId="0" applyNumberFormat="1" applyFill="1" applyAlignment="1">
      <alignment horizontal="center" vertical="center"/>
    </xf>
    <xf numFmtId="10" fontId="0" fillId="3" borderId="0" xfId="3" applyNumberFormat="1" applyFont="1" applyFill="1"/>
    <xf numFmtId="43" fontId="0" fillId="3" borderId="0" xfId="1" applyFont="1" applyFill="1"/>
    <xf numFmtId="0" fontId="0" fillId="3" borderId="0" xfId="0" applyFill="1" applyAlignment="1">
      <alignment horizontal="left" vertical="center"/>
    </xf>
    <xf numFmtId="3" fontId="3" fillId="3" borderId="0" xfId="13" applyNumberFormat="1" applyFill="1" applyAlignment="1">
      <alignment vertical="center"/>
    </xf>
    <xf numFmtId="0" fontId="0" fillId="6" borderId="0" xfId="0" applyFill="1"/>
    <xf numFmtId="0" fontId="66" fillId="6" borderId="7" xfId="13" applyFont="1" applyFill="1" applyBorder="1" applyAlignment="1">
      <alignment horizontal="center" vertical="center"/>
    </xf>
    <xf numFmtId="0" fontId="66" fillId="6" borderId="7" xfId="13" applyFont="1" applyFill="1" applyBorder="1" applyAlignment="1">
      <alignment vertical="center"/>
    </xf>
    <xf numFmtId="0" fontId="22" fillId="3" borderId="0" xfId="13" applyFont="1" applyFill="1" applyAlignment="1">
      <alignment vertical="center"/>
    </xf>
    <xf numFmtId="43" fontId="22" fillId="3" borderId="0" xfId="1" applyFont="1" applyFill="1" applyBorder="1" applyAlignment="1">
      <alignment vertical="center"/>
    </xf>
    <xf numFmtId="0" fontId="66" fillId="6" borderId="9" xfId="13" applyFont="1" applyFill="1" applyBorder="1" applyAlignment="1">
      <alignment vertical="center"/>
    </xf>
    <xf numFmtId="0" fontId="66" fillId="6" borderId="9" xfId="13" applyFont="1" applyFill="1" applyBorder="1" applyAlignment="1">
      <alignment horizontal="center" vertical="center"/>
    </xf>
    <xf numFmtId="0" fontId="0" fillId="0" borderId="1" xfId="0" applyBorder="1"/>
    <xf numFmtId="0" fontId="13" fillId="4" borderId="25" xfId="0" applyFont="1" applyFill="1" applyBorder="1"/>
    <xf numFmtId="43" fontId="13" fillId="4" borderId="25" xfId="1" applyFont="1" applyFill="1" applyBorder="1" applyAlignment="1"/>
    <xf numFmtId="171" fontId="13" fillId="4" borderId="25" xfId="1" applyNumberFormat="1" applyFont="1" applyFill="1" applyBorder="1"/>
    <xf numFmtId="17" fontId="2" fillId="9" borderId="1" xfId="0" applyNumberFormat="1" applyFont="1" applyFill="1" applyBorder="1" applyAlignment="1">
      <alignment horizontal="center"/>
    </xf>
    <xf numFmtId="0" fontId="5" fillId="9" borderId="0" xfId="0" applyFont="1" applyFill="1" applyAlignment="1">
      <alignment horizontal="center" vertical="top"/>
    </xf>
    <xf numFmtId="4" fontId="5" fillId="3" borderId="0" xfId="0" applyNumberFormat="1" applyFont="1" applyFill="1" applyAlignment="1">
      <alignment horizontal="center" vertical="top"/>
    </xf>
    <xf numFmtId="43" fontId="5" fillId="3" borderId="0" xfId="0" applyNumberFormat="1" applyFont="1" applyFill="1" applyAlignment="1">
      <alignment horizontal="center" vertical="top"/>
    </xf>
    <xf numFmtId="43" fontId="50" fillId="3" borderId="0" xfId="1" applyFont="1" applyFill="1" applyAlignment="1">
      <alignment horizontal="center" vertical="top"/>
    </xf>
    <xf numFmtId="43" fontId="3" fillId="3" borderId="1" xfId="1" applyFont="1" applyFill="1" applyBorder="1" applyAlignment="1">
      <alignment horizontal="center" vertical="center"/>
    </xf>
    <xf numFmtId="171" fontId="2" fillId="9" borderId="1" xfId="1" applyNumberFormat="1" applyFont="1" applyFill="1" applyBorder="1" applyAlignment="1">
      <alignment horizontal="center"/>
    </xf>
    <xf numFmtId="173" fontId="2" fillId="9" borderId="1" xfId="0" applyNumberFormat="1" applyFont="1" applyFill="1" applyBorder="1" applyAlignment="1">
      <alignment horizontal="right" vertical="center" wrapText="1"/>
    </xf>
    <xf numFmtId="10" fontId="16" fillId="2" borderId="0" xfId="3" applyNumberFormat="1" applyFont="1" applyFill="1"/>
    <xf numFmtId="43" fontId="13" fillId="4" borderId="26" xfId="1" applyFont="1" applyFill="1" applyBorder="1" applyAlignment="1"/>
    <xf numFmtId="171" fontId="13" fillId="4" borderId="26" xfId="1" applyNumberFormat="1" applyFont="1" applyFill="1" applyBorder="1"/>
    <xf numFmtId="17" fontId="46" fillId="3" borderId="0" xfId="18" applyNumberFormat="1" applyFill="1" applyAlignment="1">
      <alignment horizontal="left" vertical="top"/>
    </xf>
    <xf numFmtId="0" fontId="46" fillId="0" borderId="0" xfId="18" applyFill="1"/>
    <xf numFmtId="185" fontId="0" fillId="3" borderId="0" xfId="0" applyNumberFormat="1" applyFill="1"/>
    <xf numFmtId="171" fontId="0" fillId="0" borderId="0" xfId="1" applyNumberFormat="1" applyFont="1"/>
    <xf numFmtId="0" fontId="65" fillId="0" borderId="0" xfId="0" applyFont="1"/>
    <xf numFmtId="183" fontId="0" fillId="0" borderId="0" xfId="0" applyNumberFormat="1"/>
    <xf numFmtId="0" fontId="65" fillId="3" borderId="1" xfId="0" applyFont="1" applyFill="1" applyBorder="1" applyAlignment="1">
      <alignment horizontal="center"/>
    </xf>
    <xf numFmtId="17" fontId="62" fillId="3" borderId="18" xfId="0" applyNumberFormat="1" applyFont="1" applyFill="1" applyBorder="1" applyAlignment="1">
      <alignment horizontal="center" vertical="center"/>
    </xf>
    <xf numFmtId="17" fontId="14" fillId="3" borderId="18" xfId="0" applyNumberFormat="1" applyFont="1" applyFill="1" applyBorder="1" applyAlignment="1">
      <alignment horizontal="center" vertical="center"/>
    </xf>
    <xf numFmtId="165" fontId="13" fillId="5" borderId="1" xfId="0" applyNumberFormat="1" applyFont="1" applyFill="1" applyBorder="1" applyAlignment="1">
      <alignment horizontal="right" vertical="center"/>
    </xf>
    <xf numFmtId="43" fontId="13" fillId="3" borderId="1" xfId="1" applyFont="1" applyFill="1" applyBorder="1" applyAlignment="1">
      <alignment horizontal="center" vertical="center" wrapText="1"/>
    </xf>
    <xf numFmtId="166" fontId="13" fillId="3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wrapText="1" indent="1"/>
    </xf>
    <xf numFmtId="0" fontId="67" fillId="0" borderId="1" xfId="0" applyFont="1" applyBorder="1"/>
    <xf numFmtId="3" fontId="67" fillId="0" borderId="1" xfId="0" applyNumberFormat="1" applyFont="1" applyBorder="1"/>
    <xf numFmtId="4" fontId="67" fillId="0" borderId="1" xfId="0" applyNumberFormat="1" applyFont="1" applyBorder="1"/>
    <xf numFmtId="175" fontId="2" fillId="3" borderId="0" xfId="0" applyNumberFormat="1" applyFont="1" applyFill="1"/>
    <xf numFmtId="0" fontId="67" fillId="0" borderId="1" xfId="0" applyFont="1" applyBorder="1" applyAlignment="1">
      <alignment horizontal="center"/>
    </xf>
    <xf numFmtId="187" fontId="13" fillId="5" borderId="1" xfId="0" applyNumberFormat="1" applyFont="1" applyFill="1" applyBorder="1" applyAlignment="1">
      <alignment horizontal="right" vertical="center"/>
    </xf>
    <xf numFmtId="187" fontId="2" fillId="12" borderId="1" xfId="0" applyNumberFormat="1" applyFont="1" applyFill="1" applyBorder="1" applyAlignment="1">
      <alignment horizontal="right" vertical="center"/>
    </xf>
    <xf numFmtId="10" fontId="13" fillId="3" borderId="0" xfId="3" applyNumberFormat="1" applyFont="1" applyFill="1" applyBorder="1" applyAlignment="1">
      <alignment horizontal="right"/>
    </xf>
    <xf numFmtId="188" fontId="0" fillId="0" borderId="0" xfId="0" applyNumberFormat="1"/>
    <xf numFmtId="189" fontId="4" fillId="2" borderId="0" xfId="3" applyNumberFormat="1" applyFont="1" applyFill="1" applyAlignment="1">
      <alignment vertical="center"/>
    </xf>
    <xf numFmtId="181" fontId="2" fillId="9" borderId="1" xfId="0" applyNumberFormat="1" applyFont="1" applyFill="1" applyBorder="1"/>
    <xf numFmtId="9" fontId="4" fillId="2" borderId="0" xfId="3" applyFont="1" applyFill="1"/>
    <xf numFmtId="189" fontId="4" fillId="2" borderId="0" xfId="9" applyNumberFormat="1" applyFont="1" applyFill="1"/>
    <xf numFmtId="190" fontId="14" fillId="3" borderId="0" xfId="3" applyNumberFormat="1" applyFont="1" applyFill="1" applyAlignment="1">
      <alignment vertical="center"/>
    </xf>
    <xf numFmtId="171" fontId="16" fillId="2" borderId="0" xfId="3" applyNumberFormat="1" applyFont="1" applyFill="1"/>
    <xf numFmtId="189" fontId="0" fillId="0" borderId="0" xfId="0" applyNumberFormat="1"/>
    <xf numFmtId="189" fontId="4" fillId="2" borderId="0" xfId="0" applyNumberFormat="1" applyFont="1" applyFill="1"/>
    <xf numFmtId="189" fontId="4" fillId="2" borderId="0" xfId="9" applyNumberFormat="1" applyFont="1" applyFill="1" applyAlignment="1">
      <alignment horizontal="center" vertical="center"/>
    </xf>
    <xf numFmtId="187" fontId="0" fillId="0" borderId="0" xfId="0" applyNumberFormat="1"/>
    <xf numFmtId="187" fontId="13" fillId="5" borderId="0" xfId="0" applyNumberFormat="1" applyFont="1" applyFill="1" applyAlignment="1">
      <alignment horizontal="right" vertical="center"/>
    </xf>
    <xf numFmtId="0" fontId="2" fillId="3" borderId="0" xfId="0" applyFont="1" applyFill="1"/>
    <xf numFmtId="175" fontId="2" fillId="9" borderId="1" xfId="0" applyNumberFormat="1" applyFont="1" applyFill="1" applyBorder="1" applyAlignment="1">
      <alignment horizontal="center"/>
    </xf>
    <xf numFmtId="43" fontId="16" fillId="2" borderId="0" xfId="3" applyNumberFormat="1" applyFont="1" applyFill="1"/>
    <xf numFmtId="0" fontId="0" fillId="0" borderId="18" xfId="0" applyBorder="1" applyAlignment="1">
      <alignment horizontal="left" indent="1"/>
    </xf>
    <xf numFmtId="43" fontId="13" fillId="4" borderId="1" xfId="1" applyFont="1" applyFill="1" applyBorder="1" applyAlignment="1"/>
    <xf numFmtId="17" fontId="13" fillId="3" borderId="0" xfId="0" applyNumberFormat="1" applyFont="1" applyFill="1" applyAlignment="1">
      <alignment vertical="center"/>
    </xf>
    <xf numFmtId="3" fontId="13" fillId="5" borderId="0" xfId="0" applyNumberFormat="1" applyFont="1" applyFill="1" applyAlignment="1">
      <alignment horizontal="right" vertical="center"/>
    </xf>
    <xf numFmtId="0" fontId="67" fillId="3" borderId="0" xfId="0" applyFont="1" applyFill="1"/>
    <xf numFmtId="0" fontId="67" fillId="3" borderId="0" xfId="0" applyFont="1" applyFill="1" applyAlignment="1">
      <alignment horizontal="center"/>
    </xf>
    <xf numFmtId="4" fontId="67" fillId="3" borderId="0" xfId="0" applyNumberFormat="1" applyFont="1" applyFill="1"/>
    <xf numFmtId="175" fontId="2" fillId="3" borderId="0" xfId="0" applyNumberFormat="1" applyFont="1" applyFill="1" applyAlignment="1">
      <alignment horizontal="center"/>
    </xf>
    <xf numFmtId="17" fontId="2" fillId="3" borderId="0" xfId="0" applyNumberFormat="1" applyFont="1" applyFill="1" applyAlignment="1">
      <alignment vertical="center"/>
    </xf>
    <xf numFmtId="187" fontId="2" fillId="5" borderId="0" xfId="0" applyNumberFormat="1" applyFont="1" applyFill="1" applyAlignment="1">
      <alignment horizontal="right" vertical="center"/>
    </xf>
    <xf numFmtId="0" fontId="69" fillId="0" borderId="0" xfId="0" applyFont="1" applyAlignment="1">
      <alignment vertical="center" wrapText="1"/>
    </xf>
    <xf numFmtId="0" fontId="69" fillId="0" borderId="0" xfId="0" applyFont="1" applyAlignment="1">
      <alignment horizontal="center" vertical="center" wrapText="1"/>
    </xf>
    <xf numFmtId="0" fontId="2" fillId="12" borderId="7" xfId="0" applyFont="1" applyFill="1" applyBorder="1" applyAlignment="1">
      <alignment horizontal="center" vertical="center"/>
    </xf>
    <xf numFmtId="0" fontId="2" fillId="12" borderId="16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12" borderId="21" xfId="0" applyFont="1" applyFill="1" applyBorder="1" applyAlignment="1">
      <alignment horizontal="center" vertical="center"/>
    </xf>
    <xf numFmtId="0" fontId="2" fillId="12" borderId="23" xfId="0" applyFont="1" applyFill="1" applyBorder="1" applyAlignment="1">
      <alignment horizontal="center" vertical="center"/>
    </xf>
    <xf numFmtId="43" fontId="67" fillId="3" borderId="1" xfId="1" applyFont="1" applyFill="1" applyBorder="1"/>
    <xf numFmtId="43" fontId="0" fillId="3" borderId="1" xfId="1" applyFont="1" applyFill="1" applyBorder="1"/>
    <xf numFmtId="43" fontId="71" fillId="9" borderId="1" xfId="1" applyFont="1" applyFill="1" applyBorder="1"/>
    <xf numFmtId="4" fontId="71" fillId="9" borderId="1" xfId="0" applyNumberFormat="1" applyFont="1" applyFill="1" applyBorder="1"/>
    <xf numFmtId="4" fontId="2" fillId="9" borderId="1" xfId="0" applyNumberFormat="1" applyFont="1" applyFill="1" applyBorder="1"/>
    <xf numFmtId="0" fontId="0" fillId="0" borderId="1" xfId="0" applyBorder="1" applyAlignment="1">
      <alignment horizontal="center"/>
    </xf>
    <xf numFmtId="43" fontId="0" fillId="0" borderId="23" xfId="1" applyFont="1" applyBorder="1" applyAlignment="1">
      <alignment horizontal="center"/>
    </xf>
    <xf numFmtId="43" fontId="0" fillId="0" borderId="23" xfId="1" applyFont="1" applyBorder="1"/>
    <xf numFmtId="43" fontId="0" fillId="0" borderId="1" xfId="0" applyNumberFormat="1" applyBorder="1" applyAlignment="1">
      <alignment horizontal="center"/>
    </xf>
    <xf numFmtId="4" fontId="0" fillId="0" borderId="23" xfId="0" applyNumberFormat="1" applyBorder="1"/>
    <xf numFmtId="43" fontId="0" fillId="0" borderId="1" xfId="1" applyFont="1" applyBorder="1" applyAlignment="1">
      <alignment horizontal="center"/>
    </xf>
    <xf numFmtId="43" fontId="0" fillId="0" borderId="1" xfId="1" applyFont="1" applyBorder="1"/>
    <xf numFmtId="43" fontId="0" fillId="3" borderId="1" xfId="1" applyFont="1" applyFill="1" applyBorder="1" applyAlignment="1"/>
    <xf numFmtId="43" fontId="0" fillId="3" borderId="1" xfId="1" applyFont="1" applyFill="1" applyBorder="1" applyAlignment="1">
      <alignment horizontal="center"/>
    </xf>
    <xf numFmtId="0" fontId="70" fillId="12" borderId="21" xfId="0" applyFont="1" applyFill="1" applyBorder="1" applyAlignment="1">
      <alignment horizontal="center" vertical="center"/>
    </xf>
    <xf numFmtId="43" fontId="0" fillId="3" borderId="0" xfId="1" applyFont="1" applyFill="1" applyBorder="1"/>
    <xf numFmtId="3" fontId="5" fillId="0" borderId="0" xfId="0" applyNumberFormat="1" applyFont="1"/>
    <xf numFmtId="166" fontId="13" fillId="3" borderId="1" xfId="1" applyNumberFormat="1" applyFont="1" applyFill="1" applyBorder="1"/>
    <xf numFmtId="0" fontId="72" fillId="0" borderId="0" xfId="0" applyFont="1"/>
    <xf numFmtId="44" fontId="4" fillId="0" borderId="0" xfId="0" applyNumberFormat="1" applyFont="1"/>
    <xf numFmtId="0" fontId="73" fillId="0" borderId="0" xfId="0" applyFont="1"/>
    <xf numFmtId="171" fontId="13" fillId="3" borderId="1" xfId="1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left"/>
    </xf>
    <xf numFmtId="0" fontId="4" fillId="3" borderId="0" xfId="0" applyFont="1" applyFill="1" applyAlignment="1">
      <alignment horizontal="center" vertical="center"/>
    </xf>
    <xf numFmtId="44" fontId="13" fillId="3" borderId="0" xfId="0" applyNumberFormat="1" applyFont="1" applyFill="1"/>
    <xf numFmtId="166" fontId="13" fillId="3" borderId="0" xfId="1" applyNumberFormat="1" applyFont="1" applyFill="1" applyBorder="1"/>
    <xf numFmtId="8" fontId="0" fillId="3" borderId="0" xfId="0" applyNumberFormat="1" applyFill="1"/>
    <xf numFmtId="166" fontId="0" fillId="3" borderId="0" xfId="0" applyNumberFormat="1" applyFill="1"/>
    <xf numFmtId="44" fontId="0" fillId="3" borderId="0" xfId="0" applyNumberFormat="1" applyFill="1"/>
    <xf numFmtId="44" fontId="0" fillId="3" borderId="0" xfId="2" applyFont="1" applyFill="1" applyBorder="1"/>
    <xf numFmtId="168" fontId="19" fillId="0" borderId="1" xfId="0" applyNumberFormat="1" applyFont="1" applyBorder="1" applyAlignment="1">
      <alignment horizontal="center" wrapText="1"/>
    </xf>
    <xf numFmtId="0" fontId="2" fillId="9" borderId="1" xfId="0" applyFont="1" applyFill="1" applyBorder="1" applyAlignment="1">
      <alignment horizontal="right" vertical="center" wrapText="1"/>
    </xf>
    <xf numFmtId="3" fontId="2" fillId="9" borderId="1" xfId="3" applyNumberFormat="1" applyFont="1" applyFill="1" applyBorder="1" applyAlignment="1">
      <alignment horizontal="right" vertical="center"/>
    </xf>
    <xf numFmtId="43" fontId="75" fillId="3" borderId="0" xfId="1" applyFont="1" applyFill="1"/>
    <xf numFmtId="43" fontId="75" fillId="3" borderId="0" xfId="1" applyFont="1" applyFill="1" applyBorder="1"/>
    <xf numFmtId="43" fontId="75" fillId="3" borderId="0" xfId="1" applyFont="1" applyFill="1" applyAlignment="1">
      <alignment horizontal="left"/>
    </xf>
    <xf numFmtId="43" fontId="75" fillId="3" borderId="0" xfId="1" applyFont="1" applyFill="1" applyBorder="1" applyAlignment="1">
      <alignment horizontal="center" vertical="center"/>
    </xf>
    <xf numFmtId="43" fontId="75" fillId="3" borderId="0" xfId="1" applyFont="1" applyFill="1" applyAlignment="1">
      <alignment horizontal="center" vertical="center"/>
    </xf>
    <xf numFmtId="43" fontId="75" fillId="5" borderId="0" xfId="1" applyFont="1" applyFill="1" applyBorder="1" applyAlignment="1">
      <alignment horizontal="center" vertical="center"/>
    </xf>
    <xf numFmtId="43" fontId="75" fillId="2" borderId="0" xfId="1" applyFont="1" applyFill="1"/>
    <xf numFmtId="43" fontId="75" fillId="5" borderId="0" xfId="1" applyFont="1" applyFill="1" applyAlignment="1">
      <alignment horizontal="center" vertical="center" wrapText="1"/>
    </xf>
    <xf numFmtId="43" fontId="5" fillId="2" borderId="0" xfId="0" applyNumberFormat="1" applyFont="1" applyFill="1"/>
    <xf numFmtId="0" fontId="13" fillId="4" borderId="25" xfId="18" applyFont="1" applyFill="1" applyBorder="1"/>
    <xf numFmtId="0" fontId="13" fillId="4" borderId="27" xfId="18" applyFont="1" applyFill="1" applyBorder="1"/>
    <xf numFmtId="0" fontId="55" fillId="3" borderId="0" xfId="18" applyFont="1" applyFill="1"/>
    <xf numFmtId="10" fontId="13" fillId="3" borderId="1" xfId="3" applyNumberFormat="1" applyFont="1" applyFill="1" applyBorder="1"/>
    <xf numFmtId="174" fontId="13" fillId="3" borderId="1" xfId="1" applyNumberFormat="1" applyFont="1" applyFill="1" applyBorder="1"/>
    <xf numFmtId="43" fontId="13" fillId="3" borderId="0" xfId="1" applyFont="1" applyFill="1" applyBorder="1"/>
    <xf numFmtId="43" fontId="4" fillId="3" borderId="0" xfId="1" applyFont="1" applyFill="1" applyBorder="1"/>
    <xf numFmtId="43" fontId="4" fillId="0" borderId="0" xfId="1" applyFont="1"/>
    <xf numFmtId="43" fontId="1" fillId="3" borderId="0" xfId="1" applyFont="1" applyFill="1" applyBorder="1"/>
    <xf numFmtId="43" fontId="19" fillId="3" borderId="0" xfId="1" applyFont="1" applyFill="1" applyBorder="1"/>
    <xf numFmtId="43" fontId="19" fillId="0" borderId="0" xfId="1" applyFont="1" applyBorder="1"/>
    <xf numFmtId="43" fontId="4" fillId="3" borderId="0" xfId="0" applyNumberFormat="1" applyFont="1" applyFill="1"/>
    <xf numFmtId="43" fontId="0" fillId="0" borderId="0" xfId="3" applyNumberFormat="1" applyFont="1"/>
    <xf numFmtId="43" fontId="2" fillId="3" borderId="0" xfId="1" applyFont="1" applyFill="1"/>
    <xf numFmtId="9" fontId="5" fillId="0" borderId="0" xfId="3" applyFont="1"/>
    <xf numFmtId="49" fontId="58" fillId="3" borderId="1" xfId="2" applyNumberFormat="1" applyFont="1" applyFill="1" applyBorder="1" applyAlignment="1">
      <alignment vertical="center"/>
    </xf>
    <xf numFmtId="49" fontId="13" fillId="10" borderId="1" xfId="2" applyNumberFormat="1" applyFont="1" applyFill="1" applyBorder="1" applyAlignment="1">
      <alignment horizontal="left" vertical="center"/>
    </xf>
    <xf numFmtId="0" fontId="15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/>
    </xf>
    <xf numFmtId="0" fontId="2" fillId="9" borderId="20" xfId="0" applyFont="1" applyFill="1" applyBorder="1" applyAlignment="1">
      <alignment horizontal="center" vertical="center"/>
    </xf>
    <xf numFmtId="0" fontId="2" fillId="9" borderId="19" xfId="0" applyFont="1" applyFill="1" applyBorder="1" applyAlignment="1">
      <alignment horizontal="center" vertical="center"/>
    </xf>
    <xf numFmtId="172" fontId="13" fillId="2" borderId="1" xfId="0" applyNumberFormat="1" applyFont="1" applyFill="1" applyBorder="1" applyAlignment="1">
      <alignment horizontal="left" wrapText="1"/>
    </xf>
    <xf numFmtId="0" fontId="17" fillId="9" borderId="1" xfId="0" applyFont="1" applyFill="1" applyBorder="1" applyAlignment="1">
      <alignment horizontal="center" vertical="center" wrapText="1"/>
    </xf>
    <xf numFmtId="17" fontId="13" fillId="3" borderId="18" xfId="0" applyNumberFormat="1" applyFont="1" applyFill="1" applyBorder="1" applyAlignment="1">
      <alignment horizontal="left" vertical="center" wrapText="1"/>
    </xf>
    <xf numFmtId="17" fontId="13" fillId="3" borderId="20" xfId="0" applyNumberFormat="1" applyFont="1" applyFill="1" applyBorder="1" applyAlignment="1">
      <alignment horizontal="left" vertical="center" wrapText="1"/>
    </xf>
    <xf numFmtId="17" fontId="13" fillId="3" borderId="19" xfId="0" applyNumberFormat="1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 vertical="center" wrapText="1"/>
    </xf>
    <xf numFmtId="0" fontId="58" fillId="0" borderId="1" xfId="0" applyFont="1" applyBorder="1"/>
    <xf numFmtId="0" fontId="15" fillId="9" borderId="1" xfId="0" applyFont="1" applyFill="1" applyBorder="1" applyAlignment="1">
      <alignment horizontal="center"/>
    </xf>
    <xf numFmtId="0" fontId="0" fillId="9" borderId="1" xfId="0" applyFill="1" applyBorder="1"/>
    <xf numFmtId="17" fontId="13" fillId="0" borderId="18" xfId="0" applyNumberFormat="1" applyFont="1" applyBorder="1" applyAlignment="1">
      <alignment horizontal="left" vertical="center"/>
    </xf>
    <xf numFmtId="17" fontId="13" fillId="0" borderId="20" xfId="0" applyNumberFormat="1" applyFont="1" applyBorder="1" applyAlignment="1">
      <alignment horizontal="left" vertical="center"/>
    </xf>
    <xf numFmtId="17" fontId="13" fillId="0" borderId="19" xfId="0" applyNumberFormat="1" applyFont="1" applyBorder="1" applyAlignment="1">
      <alignment horizontal="left" vertical="center"/>
    </xf>
    <xf numFmtId="17" fontId="13" fillId="0" borderId="18" xfId="0" applyNumberFormat="1" applyFont="1" applyBorder="1" applyAlignment="1">
      <alignment horizontal="left"/>
    </xf>
    <xf numFmtId="17" fontId="13" fillId="0" borderId="20" xfId="0" applyNumberFormat="1" applyFont="1" applyBorder="1" applyAlignment="1">
      <alignment horizontal="left"/>
    </xf>
    <xf numFmtId="17" fontId="13" fillId="0" borderId="19" xfId="0" applyNumberFormat="1" applyFont="1" applyBorder="1" applyAlignment="1">
      <alignment horizontal="left"/>
    </xf>
    <xf numFmtId="17" fontId="2" fillId="3" borderId="0" xfId="0" applyNumberFormat="1" applyFont="1" applyFill="1" applyAlignment="1">
      <alignment horizontal="center"/>
    </xf>
    <xf numFmtId="17" fontId="2" fillId="9" borderId="18" xfId="0" applyNumberFormat="1" applyFont="1" applyFill="1" applyBorder="1" applyAlignment="1">
      <alignment horizontal="center" vertical="center"/>
    </xf>
    <xf numFmtId="17" fontId="2" fillId="9" borderId="20" xfId="0" applyNumberFormat="1" applyFont="1" applyFill="1" applyBorder="1" applyAlignment="1">
      <alignment horizontal="center" vertical="center"/>
    </xf>
    <xf numFmtId="17" fontId="2" fillId="9" borderId="19" xfId="0" applyNumberFormat="1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3" fontId="2" fillId="9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3" fontId="17" fillId="9" borderId="1" xfId="2" applyNumberFormat="1" applyFont="1" applyFill="1" applyBorder="1" applyAlignment="1">
      <alignment horizontal="center"/>
    </xf>
    <xf numFmtId="3" fontId="13" fillId="0" borderId="1" xfId="2" applyNumberFormat="1" applyFont="1" applyBorder="1" applyAlignment="1">
      <alignment horizontal="center"/>
    </xf>
    <xf numFmtId="0" fontId="2" fillId="9" borderId="1" xfId="4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3" fontId="2" fillId="9" borderId="1" xfId="0" applyNumberFormat="1" applyFont="1" applyFill="1" applyBorder="1" applyAlignment="1">
      <alignment horizontal="center" vertical="center" wrapText="1"/>
    </xf>
    <xf numFmtId="17" fontId="2" fillId="9" borderId="1" xfId="0" applyNumberFormat="1" applyFont="1" applyFill="1" applyBorder="1" applyAlignment="1">
      <alignment vertical="center"/>
    </xf>
    <xf numFmtId="17" fontId="13" fillId="3" borderId="1" xfId="0" applyNumberFormat="1" applyFont="1" applyFill="1" applyBorder="1" applyAlignment="1">
      <alignment vertical="center"/>
    </xf>
    <xf numFmtId="4" fontId="13" fillId="3" borderId="18" xfId="4" applyNumberFormat="1" applyFont="1" applyFill="1" applyBorder="1" applyAlignment="1">
      <alignment horizontal="center" vertical="center"/>
    </xf>
    <xf numFmtId="4" fontId="13" fillId="3" borderId="19" xfId="4" applyNumberFormat="1" applyFont="1" applyFill="1" applyBorder="1" applyAlignment="1">
      <alignment horizontal="center" vertical="center"/>
    </xf>
    <xf numFmtId="184" fontId="13" fillId="3" borderId="18" xfId="4" applyNumberFormat="1" applyFont="1" applyFill="1" applyBorder="1" applyAlignment="1">
      <alignment horizontal="center" vertical="center"/>
    </xf>
    <xf numFmtId="184" fontId="13" fillId="3" borderId="19" xfId="4" applyNumberFormat="1" applyFont="1" applyFill="1" applyBorder="1" applyAlignment="1">
      <alignment horizontal="center" vertical="center"/>
    </xf>
    <xf numFmtId="4" fontId="13" fillId="3" borderId="1" xfId="4" applyNumberFormat="1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/>
    </xf>
    <xf numFmtId="0" fontId="2" fillId="9" borderId="20" xfId="0" applyFont="1" applyFill="1" applyBorder="1" applyAlignment="1">
      <alignment horizontal="center"/>
    </xf>
    <xf numFmtId="0" fontId="2" fillId="9" borderId="19" xfId="0" applyFont="1" applyFill="1" applyBorder="1" applyAlignment="1">
      <alignment horizontal="center"/>
    </xf>
    <xf numFmtId="17" fontId="13" fillId="3" borderId="18" xfId="0" applyNumberFormat="1" applyFont="1" applyFill="1" applyBorder="1" applyAlignment="1">
      <alignment vertical="center"/>
    </xf>
    <xf numFmtId="17" fontId="13" fillId="3" borderId="20" xfId="0" applyNumberFormat="1" applyFont="1" applyFill="1" applyBorder="1" applyAlignment="1">
      <alignment vertical="center"/>
    </xf>
    <xf numFmtId="17" fontId="13" fillId="3" borderId="19" xfId="0" applyNumberFormat="1" applyFont="1" applyFill="1" applyBorder="1" applyAlignment="1">
      <alignment vertical="center"/>
    </xf>
    <xf numFmtId="17" fontId="2" fillId="9" borderId="18" xfId="0" applyNumberFormat="1" applyFont="1" applyFill="1" applyBorder="1" applyAlignment="1">
      <alignment vertical="center"/>
    </xf>
    <xf numFmtId="17" fontId="2" fillId="9" borderId="20" xfId="0" applyNumberFormat="1" applyFont="1" applyFill="1" applyBorder="1" applyAlignment="1">
      <alignment vertical="center"/>
    </xf>
    <xf numFmtId="17" fontId="2" fillId="9" borderId="19" xfId="0" applyNumberFormat="1" applyFont="1" applyFill="1" applyBorder="1" applyAlignment="1">
      <alignment vertical="center"/>
    </xf>
    <xf numFmtId="17" fontId="2" fillId="3" borderId="0" xfId="0" applyNumberFormat="1" applyFont="1" applyFill="1" applyAlignment="1">
      <alignment vertical="center"/>
    </xf>
    <xf numFmtId="0" fontId="2" fillId="12" borderId="18" xfId="0" applyFont="1" applyFill="1" applyBorder="1" applyAlignment="1">
      <alignment horizontal="center" vertical="center"/>
    </xf>
    <xf numFmtId="0" fontId="2" fillId="12" borderId="21" xfId="0" applyFont="1" applyFill="1" applyBorder="1" applyAlignment="1">
      <alignment horizontal="center" vertical="center"/>
    </xf>
    <xf numFmtId="0" fontId="2" fillId="12" borderId="23" xfId="0" applyFont="1" applyFill="1" applyBorder="1" applyAlignment="1">
      <alignment horizontal="center" vertical="center"/>
    </xf>
    <xf numFmtId="17" fontId="13" fillId="3" borderId="0" xfId="0" applyNumberFormat="1" applyFont="1" applyFill="1" applyAlignment="1">
      <alignment vertical="center"/>
    </xf>
    <xf numFmtId="10" fontId="15" fillId="9" borderId="1" xfId="3" applyNumberFormat="1" applyFont="1" applyFill="1" applyBorder="1" applyAlignment="1">
      <alignment horizontal="center" vertical="center"/>
    </xf>
    <xf numFmtId="17" fontId="13" fillId="0" borderId="1" xfId="0" applyNumberFormat="1" applyFont="1" applyBorder="1" applyAlignment="1">
      <alignment horizontal="left" vertical="center"/>
    </xf>
    <xf numFmtId="17" fontId="13" fillId="3" borderId="1" xfId="0" applyNumberFormat="1" applyFont="1" applyFill="1" applyBorder="1" applyAlignment="1">
      <alignment horizontal="left" vertical="center"/>
    </xf>
    <xf numFmtId="0" fontId="55" fillId="0" borderId="1" xfId="0" applyFont="1" applyBorder="1" applyAlignment="1">
      <alignment horizontal="center" vertical="center" wrapText="1"/>
    </xf>
    <xf numFmtId="164" fontId="55" fillId="10" borderId="21" xfId="0" applyNumberFormat="1" applyFont="1" applyFill="1" applyBorder="1" applyAlignment="1">
      <alignment horizontal="center" vertical="center"/>
    </xf>
    <xf numFmtId="164" fontId="55" fillId="10" borderId="22" xfId="0" applyNumberFormat="1" applyFont="1" applyFill="1" applyBorder="1" applyAlignment="1">
      <alignment horizontal="center" vertical="center"/>
    </xf>
    <xf numFmtId="164" fontId="55" fillId="10" borderId="23" xfId="0" applyNumberFormat="1" applyFont="1" applyFill="1" applyBorder="1" applyAlignment="1">
      <alignment horizontal="center" vertical="center"/>
    </xf>
    <xf numFmtId="0" fontId="6" fillId="9" borderId="0" xfId="9" applyFont="1" applyFill="1" applyAlignment="1">
      <alignment horizontal="center" vertical="center"/>
    </xf>
    <xf numFmtId="0" fontId="54" fillId="3" borderId="0" xfId="0" applyFont="1" applyFill="1" applyAlignment="1">
      <alignment horizontal="center" vertical="center" wrapText="1"/>
    </xf>
    <xf numFmtId="0" fontId="44" fillId="9" borderId="1" xfId="0" applyFont="1" applyFill="1" applyBorder="1" applyAlignment="1">
      <alignment horizontal="center" vertical="center" wrapText="1"/>
    </xf>
    <xf numFmtId="164" fontId="55" fillId="10" borderId="21" xfId="0" applyNumberFormat="1" applyFont="1" applyFill="1" applyBorder="1" applyAlignment="1">
      <alignment horizontal="center" vertical="center" wrapText="1"/>
    </xf>
    <xf numFmtId="164" fontId="55" fillId="10" borderId="22" xfId="0" applyNumberFormat="1" applyFont="1" applyFill="1" applyBorder="1" applyAlignment="1">
      <alignment horizontal="center" vertical="center" wrapText="1"/>
    </xf>
    <xf numFmtId="164" fontId="55" fillId="10" borderId="23" xfId="0" applyNumberFormat="1" applyFont="1" applyFill="1" applyBorder="1" applyAlignment="1">
      <alignment horizontal="center" vertical="center" wrapText="1"/>
    </xf>
    <xf numFmtId="164" fontId="55" fillId="10" borderId="1" xfId="0" applyNumberFormat="1" applyFont="1" applyFill="1" applyBorder="1" applyAlignment="1">
      <alignment horizontal="center" vertical="center"/>
    </xf>
    <xf numFmtId="164" fontId="55" fillId="10" borderId="1" xfId="0" applyNumberFormat="1" applyFont="1" applyFill="1" applyBorder="1" applyAlignment="1">
      <alignment horizontal="center" vertical="center" wrapText="1"/>
    </xf>
    <xf numFmtId="0" fontId="66" fillId="6" borderId="7" xfId="13" applyFont="1" applyFill="1" applyBorder="1" applyAlignment="1">
      <alignment horizontal="center" vertical="center"/>
    </xf>
  </cellXfs>
  <cellStyles count="27">
    <cellStyle name="Comma 2 2" xfId="11" xr:uid="{00000000-0005-0000-0000-000000000000}"/>
    <cellStyle name="Comma 2 2 2" xfId="21" xr:uid="{F95D9A09-EE7C-46A8-9B2D-EFDD277FEE1A}"/>
    <cellStyle name="Hiperlink" xfId="18" builtinId="8"/>
    <cellStyle name="Moeda" xfId="2" builtinId="4"/>
    <cellStyle name="Moeda 2" xfId="8" xr:uid="{00000000-0005-0000-0000-000003000000}"/>
    <cellStyle name="Moeda 3" xfId="12" xr:uid="{00000000-0005-0000-0000-000004000000}"/>
    <cellStyle name="Moeda 3 2" xfId="22" xr:uid="{8305A936-278A-46D0-A881-B27B22F9E6B6}"/>
    <cellStyle name="Moeda 4" xfId="20" xr:uid="{D95AADDB-6CCB-41D7-8D08-1B96E97E3548}"/>
    <cellStyle name="Moeda 5" xfId="26" xr:uid="{B998C5EF-EDA0-4497-89F4-30C5EA6B8559}"/>
    <cellStyle name="Normal" xfId="0" builtinId="0"/>
    <cellStyle name="Normal - Style1 2 2" xfId="10" xr:uid="{00000000-0005-0000-0000-000006000000}"/>
    <cellStyle name="Normal 12" xfId="13" xr:uid="{00000000-0005-0000-0000-000007000000}"/>
    <cellStyle name="Normal 2" xfId="9" xr:uid="{00000000-0005-0000-0000-000008000000}"/>
    <cellStyle name="Normal 2 2" xfId="14" xr:uid="{00000000-0005-0000-0000-000009000000}"/>
    <cellStyle name="Normal 3" xfId="25" xr:uid="{829CCED1-B3F9-4D75-903B-F70F5C2348C7}"/>
    <cellStyle name="Normal 4" xfId="4" xr:uid="{00000000-0005-0000-0000-00000A000000}"/>
    <cellStyle name="Normal 4 2" xfId="17" xr:uid="{33CCF34B-6E45-461F-9C81-66D8EF568FB1}"/>
    <cellStyle name="Normal 5" xfId="5" xr:uid="{00000000-0005-0000-0000-00000B000000}"/>
    <cellStyle name="Porcentagem" xfId="3" builtinId="5"/>
    <cellStyle name="Porcentagem 2" xfId="7" xr:uid="{00000000-0005-0000-0000-00000D000000}"/>
    <cellStyle name="Separador de milhares 3" xfId="6" xr:uid="{00000000-0005-0000-0000-00000E000000}"/>
    <cellStyle name="Separador de milhares 3 2" xfId="16" xr:uid="{00000000-0005-0000-0000-00000F000000}"/>
    <cellStyle name="Separador de milhares 3 2 2" xfId="24" xr:uid="{B456FC9E-A23B-4681-BC5A-BABDB76C3840}"/>
    <cellStyle name="Vírgula" xfId="1" builtinId="3"/>
    <cellStyle name="Vírgula 2" xfId="15" xr:uid="{00000000-0005-0000-0000-000011000000}"/>
    <cellStyle name="Vírgula 2 2" xfId="23" xr:uid="{F447A4BF-3B99-41EB-AAE6-A8B9F79CEB0D}"/>
    <cellStyle name="Vírgula 3" xfId="19" xr:uid="{57B2FF17-5F37-4A59-8727-34299D33D9EF}"/>
  </cellStyles>
  <dxfs count="0"/>
  <tableStyles count="0" defaultTableStyle="TableStyleMedium2" defaultPivotStyle="PivotStyleLight16"/>
  <colors>
    <mruColors>
      <color rgb="FF08CE4A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1">
                <a:solidFill>
                  <a:schemeClr val="accent1">
                    <a:lumMod val="75000"/>
                  </a:schemeClr>
                </a:solidFill>
              </a:rPr>
              <a:t>Variação dos indicadores inflacionários  (janeiro a dezembro de 2024 - em %)</a:t>
            </a:r>
          </a:p>
        </c:rich>
      </c:tx>
      <c:layout>
        <c:manualLayout>
          <c:xMode val="edge"/>
          <c:yMode val="edge"/>
          <c:x val="0.1355124648213574"/>
          <c:y val="2.79244471302177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6697083468241011"/>
          <c:y val="0.15538540016880523"/>
          <c:w val="0.7432329620214797"/>
          <c:h val="0.703429157327413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Índices_2024!$B$8</c:f>
              <c:strCache>
                <c:ptCount val="1"/>
                <c:pt idx="0">
                  <c:v>Índices de inflação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(Índices_2024!$E$9:$G$9,Índices_2024!$B$52)</c:f>
              <c:strCache>
                <c:ptCount val="4"/>
                <c:pt idx="0">
                  <c:v>INPC</c:v>
                </c:pt>
                <c:pt idx="1">
                  <c:v>IPCA</c:v>
                </c:pt>
                <c:pt idx="2">
                  <c:v>IGP-M</c:v>
                </c:pt>
                <c:pt idx="3">
                  <c:v>Δenergia</c:v>
                </c:pt>
              </c:strCache>
            </c:strRef>
          </c:cat>
          <c:val>
            <c:numRef>
              <c:f>(Índices_2024!$E$23:$G$23,Índices_2024!$H$52)</c:f>
              <c:numCache>
                <c:formatCode>0.00%</c:formatCode>
                <c:ptCount val="4"/>
                <c:pt idx="0">
                  <c:v>4.7681149834501557E-2</c:v>
                </c:pt>
                <c:pt idx="1">
                  <c:v>4.8311967483947837E-2</c:v>
                </c:pt>
                <c:pt idx="2">
                  <c:v>6.5378374339010392E-2</c:v>
                </c:pt>
                <c:pt idx="3">
                  <c:v>5.5823770078253787E-3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B7-413F-AA12-1AAFCCE3DD8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51599887"/>
        <c:axId val="1242784383"/>
      </c:barChart>
      <c:catAx>
        <c:axId val="1251599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42784383"/>
        <c:crossesAt val="0"/>
        <c:auto val="1"/>
        <c:lblAlgn val="ctr"/>
        <c:lblOffset val="100"/>
        <c:noMultiLvlLbl val="0"/>
      </c:catAx>
      <c:valAx>
        <c:axId val="1242784383"/>
        <c:scaling>
          <c:orientation val="minMax"/>
          <c:max val="0.22000000000000003"/>
          <c:min val="0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20000"/>
                  <a:lumOff val="80000"/>
                </a:schemeClr>
              </a:solidFill>
              <a:prstDash val="sysDot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1599887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68354769102886"/>
          <c:y val="0.96126965437731493"/>
          <c:w val="0.2005321081068771"/>
          <c:h val="3.7525694802168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pt-BR" sz="1200" i="1"/>
              <a:t>Quadro Resumo - Bônus-Desconto 2023 por Categoria</a:t>
            </a:r>
          </a:p>
        </c:rich>
      </c:tx>
      <c:layout>
        <c:manualLayout>
          <c:xMode val="edge"/>
          <c:yMode val="edge"/>
          <c:x val="0.23279333021376344"/>
          <c:y val="1.0008695733111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23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034241211651819"/>
          <c:y val="0.2110560776677109"/>
          <c:w val="0.56629009078783188"/>
          <c:h val="0.60507747015494029"/>
        </c:manualLayout>
      </c:layout>
      <c:pie3DChart>
        <c:varyColors val="1"/>
        <c:ser>
          <c:idx val="0"/>
          <c:order val="0"/>
          <c:tx>
            <c:strRef>
              <c:f>'Bônus-Desconto'!$H$9:$N$9</c:f>
              <c:strCache>
                <c:ptCount val="7"/>
                <c:pt idx="0">
                  <c:v>Quadro Resumo - Bônus-Desconto</c:v>
                </c:pt>
              </c:strCache>
            </c:strRef>
          </c:tx>
          <c:explosion val="16"/>
          <c:dPt>
            <c:idx val="0"/>
            <c:bubble3D val="0"/>
            <c:explosion val="10"/>
            <c:spPr>
              <a:solidFill>
                <a:schemeClr val="tx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90B-4D75-89BB-3A41C736D376}"/>
              </c:ext>
            </c:extLst>
          </c:dPt>
          <c:dPt>
            <c:idx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90B-4D75-89BB-3A41C736D376}"/>
              </c:ext>
            </c:extLst>
          </c:dPt>
          <c:dPt>
            <c:idx val="2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790B-4D75-89BB-3A41C736D376}"/>
              </c:ext>
            </c:extLst>
          </c:dPt>
          <c:dPt>
            <c:idx val="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790B-4D75-89BB-3A41C736D376}"/>
              </c:ext>
            </c:extLst>
          </c:dPt>
          <c:dLbls>
            <c:dLbl>
              <c:idx val="0"/>
              <c:layout>
                <c:manualLayout>
                  <c:x val="-2.8308563340410475E-3"/>
                  <c:y val="1.532567049808425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0B-4D75-89BB-3A41C736D376}"/>
                </c:ext>
              </c:extLst>
            </c:dLbl>
            <c:dLbl>
              <c:idx val="1"/>
              <c:layout>
                <c:manualLayout>
                  <c:x val="2.7761593515546315E-2"/>
                  <c:y val="-4.9808527459534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0B-4D75-89BB-3A41C736D376}"/>
                </c:ext>
              </c:extLst>
            </c:dLbl>
            <c:dLbl>
              <c:idx val="2"/>
              <c:layout>
                <c:manualLayout>
                  <c:x val="5.3503879278522848E-2"/>
                  <c:y val="1.371884965992141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0B-4D75-89BB-3A41C736D3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'Bônus-Desconto'!$K$10:$N$10</c:f>
              <c:strCache>
                <c:ptCount val="4"/>
                <c:pt idx="0">
                  <c:v>Residencial Normal</c:v>
                </c:pt>
                <c:pt idx="1">
                  <c:v>Residencial Popular</c:v>
                </c:pt>
                <c:pt idx="2">
                  <c:v>Comercial</c:v>
                </c:pt>
                <c:pt idx="3">
                  <c:v>Industrial</c:v>
                </c:pt>
              </c:strCache>
            </c:strRef>
          </c:cat>
          <c:val>
            <c:numRef>
              <c:f>'Bônus-Desconto'!$K$15:$N$15</c:f>
              <c:numCache>
                <c:formatCode>_(* #,##0.00_);_(* \(#,##0.00\);_(* "-"??_);_(@_)</c:formatCode>
                <c:ptCount val="4"/>
                <c:pt idx="0">
                  <c:v>9424198.6080000009</c:v>
                </c:pt>
                <c:pt idx="1">
                  <c:v>437722.27999999997</c:v>
                </c:pt>
                <c:pt idx="2">
                  <c:v>2575120.304</c:v>
                </c:pt>
                <c:pt idx="3">
                  <c:v>104094.19200000001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0B-4D75-89BB-3A41C736D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539957982959141"/>
          <c:y val="0.92768153980752388"/>
          <c:w val="0.49791532496998114"/>
          <c:h val="6.04842943019219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1" i="0" u="none" strike="noStrike" kern="1200" baseline="0">
                <a:solidFill>
                  <a:srgbClr val="1F497D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1" u="none" strike="noStrike" kern="1200" baseline="0">
                <a:solidFill>
                  <a:srgbClr val="1F497D"/>
                </a:solidFill>
                <a:latin typeface="+mn-lt"/>
                <a:ea typeface="+mn-ea"/>
                <a:cs typeface="+mn-cs"/>
              </a:rPr>
              <a:t>Proporção dos custos da Parcela 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1" i="0" u="none" strike="noStrike" kern="1200" baseline="0">
              <a:solidFill>
                <a:srgbClr val="1F497D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9881638195583513E-2"/>
          <c:y val="0.22780392156862744"/>
          <c:w val="0.83313613354700333"/>
          <c:h val="0.6236662034892696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4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BFB-483D-8DEE-F835C01AA039}"/>
              </c:ext>
            </c:extLst>
          </c:dPt>
          <c:dPt>
            <c:idx val="1"/>
            <c:bubble3D val="0"/>
            <c:explosion val="3"/>
            <c:spPr>
              <a:gradFill rotWithShape="1">
                <a:gsLst>
                  <a:gs pos="0">
                    <a:schemeClr val="accent1">
                      <a:shade val="76000"/>
                      <a:shade val="51000"/>
                      <a:satMod val="130000"/>
                    </a:schemeClr>
                  </a:gs>
                  <a:gs pos="80000">
                    <a:schemeClr val="accent1">
                      <a:shade val="76000"/>
                      <a:shade val="93000"/>
                      <a:satMod val="130000"/>
                    </a:schemeClr>
                  </a:gs>
                  <a:gs pos="100000">
                    <a:schemeClr val="accent1">
                      <a:shade val="76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BFB-483D-8DEE-F835C01AA039}"/>
              </c:ext>
            </c:extLst>
          </c:dPt>
          <c:dPt>
            <c:idx val="2"/>
            <c:bubble3D val="0"/>
            <c:explosion val="3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3BFB-483D-8DEE-F835C01AA039}"/>
              </c:ext>
            </c:extLst>
          </c:dPt>
          <c:dPt>
            <c:idx val="3"/>
            <c:bubble3D val="0"/>
            <c:explosion val="3"/>
            <c:spPr>
              <a:gradFill rotWithShape="1">
                <a:gsLst>
                  <a:gs pos="0">
                    <a:schemeClr val="accent1">
                      <a:tint val="77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77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77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3BFB-483D-8DEE-F835C01AA039}"/>
              </c:ext>
            </c:extLst>
          </c:dPt>
          <c:dPt>
            <c:idx val="4"/>
            <c:bubble3D val="0"/>
            <c:explosion val="6"/>
            <c:spPr>
              <a:gradFill rotWithShape="1">
                <a:gsLst>
                  <a:gs pos="0">
                    <a:schemeClr val="accent1">
                      <a:tint val="54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54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54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3BFB-483D-8DEE-F835C01AA039}"/>
              </c:ext>
            </c:extLst>
          </c:dPt>
          <c:dLbls>
            <c:dLbl>
              <c:idx val="0"/>
              <c:layout>
                <c:manualLayout>
                  <c:x val="3.2478909640099321E-2"/>
                  <c:y val="3.651567083526320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FB-483D-8DEE-F835C01AA039}"/>
                </c:ext>
              </c:extLst>
            </c:dLbl>
            <c:dLbl>
              <c:idx val="1"/>
              <c:layout>
                <c:manualLayout>
                  <c:x val="1.6212967382712717E-2"/>
                  <c:y val="-1.925644588544079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FB-483D-8DEE-F835C01AA039}"/>
                </c:ext>
              </c:extLst>
            </c:dLbl>
            <c:dLbl>
              <c:idx val="2"/>
              <c:layout>
                <c:manualLayout>
                  <c:x val="-2.0580948473897361E-2"/>
                  <c:y val="1.7137563686892081E-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FB-483D-8DEE-F835C01AA039}"/>
                </c:ext>
              </c:extLst>
            </c:dLbl>
            <c:dLbl>
              <c:idx val="3"/>
              <c:layout>
                <c:manualLayout>
                  <c:x val="4.7452348820679726E-3"/>
                  <c:y val="1.84857186969275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BFB-483D-8DEE-F835C01AA039}"/>
                </c:ext>
              </c:extLst>
            </c:dLbl>
            <c:dLbl>
              <c:idx val="4"/>
              <c:layout>
                <c:manualLayout>
                  <c:x val="-3.5300415761912216E-2"/>
                  <c:y val="2.404786166435074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BFB-483D-8DEE-F835C01AA03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'VPB 2025'!$B$11:$B$15</c:f>
              <c:strCache>
                <c:ptCount val="5"/>
                <c:pt idx="0">
                  <c:v>Pessoal</c:v>
                </c:pt>
                <c:pt idx="1">
                  <c:v>Energia Elétrica</c:v>
                </c:pt>
                <c:pt idx="2">
                  <c:v>Material </c:v>
                </c:pt>
                <c:pt idx="3">
                  <c:v>Remuneração dos Investimentos</c:v>
                </c:pt>
                <c:pt idx="4">
                  <c:v>Outros Custos</c:v>
                </c:pt>
              </c:strCache>
            </c:strRef>
          </c:cat>
          <c:val>
            <c:numRef>
              <c:f>'VPB 2025'!$D$11:$D$15</c:f>
              <c:numCache>
                <c:formatCode>#,##0</c:formatCode>
                <c:ptCount val="5"/>
                <c:pt idx="0">
                  <c:v>652383793.29318869</c:v>
                </c:pt>
                <c:pt idx="1">
                  <c:v>208041454.10000002</c:v>
                </c:pt>
                <c:pt idx="2">
                  <c:v>126277424.02000003</c:v>
                </c:pt>
                <c:pt idx="3">
                  <c:v>667378494.50257242</c:v>
                </c:pt>
                <c:pt idx="4">
                  <c:v>359693124.39187902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92B-41AA-B5CE-903D53418F2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1" u="none" strike="noStrike" kern="1200" baseline="0">
                <a:solidFill>
                  <a:srgbClr val="1F497D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1" u="none" strike="noStrike" kern="1200" baseline="0">
                <a:solidFill>
                  <a:srgbClr val="1F497D"/>
                </a:solidFill>
                <a:latin typeface="+mn-lt"/>
                <a:ea typeface="+mn-ea"/>
                <a:cs typeface="+mn-cs"/>
              </a:rPr>
              <a:t>Variação dos indicadores inflacionários (jan a dez de 2022 - em %)</a:t>
            </a:r>
          </a:p>
        </c:rich>
      </c:tx>
      <c:layout>
        <c:manualLayout>
          <c:xMode val="edge"/>
          <c:yMode val="edge"/>
          <c:x val="0.18087521205222865"/>
          <c:y val="4.26666666666666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1" u="none" strike="noStrike" kern="1200" baseline="0">
              <a:solidFill>
                <a:srgbClr val="1F497D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1828212762699339"/>
          <c:y val="0.16268346456692914"/>
          <c:w val="0.82656301930856457"/>
          <c:h val="0.62204600895476303"/>
        </c:manualLayout>
      </c:layout>
      <c:barChart>
        <c:barDir val="col"/>
        <c:grouping val="clustered"/>
        <c:varyColors val="0"/>
        <c:ser>
          <c:idx val="0"/>
          <c:order val="0"/>
          <c:tx>
            <c:v>Proporção de custo</c:v>
          </c:tx>
          <c:spPr>
            <a:gradFill rotWithShape="1">
              <a:gsLst>
                <a:gs pos="0">
                  <a:schemeClr val="accent1">
                    <a:shade val="76000"/>
                    <a:shade val="51000"/>
                    <a:satMod val="130000"/>
                  </a:schemeClr>
                </a:gs>
                <a:gs pos="80000">
                  <a:schemeClr val="accent1">
                    <a:shade val="76000"/>
                    <a:shade val="93000"/>
                    <a:satMod val="130000"/>
                  </a:schemeClr>
                </a:gs>
                <a:gs pos="100000">
                  <a:schemeClr val="accent1">
                    <a:shade val="7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('VPB 2025'!$C$11,'VPB 2025'!$C$12,'VPB 2025'!$C$18,'VPB 2025'!$C$15)</c:f>
              <c:strCache>
                <c:ptCount val="4"/>
                <c:pt idx="0">
                  <c:v>%P x ΔINPC</c:v>
                </c:pt>
                <c:pt idx="1">
                  <c:v>%EE x Δenergia</c:v>
                </c:pt>
                <c:pt idx="2">
                  <c:v>(%RI+%MT) x ΔIGP-M</c:v>
                </c:pt>
                <c:pt idx="3">
                  <c:v>% OC x ΔIPCA</c:v>
                </c:pt>
              </c:strCache>
            </c:strRef>
          </c:cat>
          <c:val>
            <c:numRef>
              <c:f>('VPB 2025'!$E$11,'VPB 2025'!$E$12,'VPB 2025'!$E$18,'VPB 2025'!$E$15)</c:f>
              <c:numCache>
                <c:formatCode>0.00%</c:formatCode>
                <c:ptCount val="4"/>
                <c:pt idx="0">
                  <c:v>0.32396073206075415</c:v>
                </c:pt>
                <c:pt idx="1">
                  <c:v>0.10330922144617209</c:v>
                </c:pt>
                <c:pt idx="2">
                  <c:v>0.39411364140582372</c:v>
                </c:pt>
                <c:pt idx="3">
                  <c:v>0.1786164050872501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EF-4981-88B0-6859E4E9587C}"/>
            </c:ext>
          </c:extLst>
        </c:ser>
        <c:ser>
          <c:idx val="1"/>
          <c:order val="1"/>
          <c:tx>
            <c:v>Índices econômicos</c:v>
          </c:tx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('VPB 2025'!$C$11,'VPB 2025'!$C$12,'VPB 2025'!$C$18,'VPB 2025'!$C$15)</c:f>
              <c:strCache>
                <c:ptCount val="4"/>
                <c:pt idx="0">
                  <c:v>%P x ΔINPC</c:v>
                </c:pt>
                <c:pt idx="1">
                  <c:v>%EE x Δenergia</c:v>
                </c:pt>
                <c:pt idx="2">
                  <c:v>(%RI+%MT) x ΔIGP-M</c:v>
                </c:pt>
                <c:pt idx="3">
                  <c:v>% OC x ΔIPCA</c:v>
                </c:pt>
              </c:strCache>
            </c:strRef>
          </c:cat>
          <c:val>
            <c:numRef>
              <c:f>(Índices_2024!$E$23,Índices_2024!$H$52,Índices_2024!$G$23,Índices_2024!$F$23)</c:f>
              <c:numCache>
                <c:formatCode>0.00%</c:formatCode>
                <c:ptCount val="4"/>
                <c:pt idx="0">
                  <c:v>4.7681149834501557E-2</c:v>
                </c:pt>
                <c:pt idx="1">
                  <c:v>5.5823770078253787E-3</c:v>
                </c:pt>
                <c:pt idx="2">
                  <c:v>6.5378374339010392E-2</c:v>
                </c:pt>
                <c:pt idx="3">
                  <c:v>4.8311967483947837E-2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EF-4981-88B0-6859E4E9587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892643183"/>
        <c:axId val="1772966895"/>
      </c:barChart>
      <c:catAx>
        <c:axId val="1892643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72966895"/>
        <c:crosses val="autoZero"/>
        <c:auto val="1"/>
        <c:lblAlgn val="ctr"/>
        <c:lblOffset val="100"/>
        <c:noMultiLvlLbl val="0"/>
      </c:catAx>
      <c:valAx>
        <c:axId val="1772966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20000"/>
                  <a:lumOff val="80000"/>
                </a:schemeClr>
              </a:solidFill>
              <a:prstDash val="sysDot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926431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CF - 2025'!A1"/><Relationship Id="rId13" Type="http://schemas.openxmlformats.org/officeDocument/2006/relationships/hyperlink" Target="#'Tarifas 2025'!A1"/><Relationship Id="rId3" Type="http://schemas.openxmlformats.org/officeDocument/2006/relationships/hyperlink" Target="#Par&#226;metros!A1"/><Relationship Id="rId7" Type="http://schemas.openxmlformats.org/officeDocument/2006/relationships/hyperlink" Target="#'RTA 2025'!A1"/><Relationship Id="rId12" Type="http://schemas.openxmlformats.org/officeDocument/2006/relationships/hyperlink" Target="#Volume_2024!A1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hyperlink" Target="#&#205;ndices_2024!A1"/><Relationship Id="rId11" Type="http://schemas.openxmlformats.org/officeDocument/2006/relationships/hyperlink" Target="#'VPA 2025'!A1"/><Relationship Id="rId5" Type="http://schemas.openxmlformats.org/officeDocument/2006/relationships/image" Target="../media/image4.svg"/><Relationship Id="rId10" Type="http://schemas.openxmlformats.org/officeDocument/2006/relationships/hyperlink" Target="#'VPB 2025'!A1"/><Relationship Id="rId4" Type="http://schemas.openxmlformats.org/officeDocument/2006/relationships/image" Target="../media/image3.png"/><Relationship Id="rId9" Type="http://schemas.openxmlformats.org/officeDocument/2006/relationships/hyperlink" Target="#'B&#244;nus-Desconto'!A1"/><Relationship Id="rId14" Type="http://schemas.openxmlformats.org/officeDocument/2006/relationships/hyperlink" Target="#'Outros CF'!A1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hyperlink" Target="#Volume_2024!A1"/><Relationship Id="rId3" Type="http://schemas.openxmlformats.org/officeDocument/2006/relationships/hyperlink" Target="#'RTA 2025'!A1"/><Relationship Id="rId7" Type="http://schemas.openxmlformats.org/officeDocument/2006/relationships/hyperlink" Target="#'VPA 2025'!A1"/><Relationship Id="rId2" Type="http://schemas.openxmlformats.org/officeDocument/2006/relationships/hyperlink" Target="#&#205;ndices_2024!A1"/><Relationship Id="rId1" Type="http://schemas.openxmlformats.org/officeDocument/2006/relationships/hyperlink" Target="#F&#243;rmulas!A1"/><Relationship Id="rId6" Type="http://schemas.openxmlformats.org/officeDocument/2006/relationships/hyperlink" Target="#'VPB 2025'!A1"/><Relationship Id="rId5" Type="http://schemas.openxmlformats.org/officeDocument/2006/relationships/hyperlink" Target="#'B&#244;nus-Desconto'!A1"/><Relationship Id="rId10" Type="http://schemas.openxmlformats.org/officeDocument/2006/relationships/hyperlink" Target="#'Outros CF'!A1"/><Relationship Id="rId4" Type="http://schemas.openxmlformats.org/officeDocument/2006/relationships/hyperlink" Target="#'CF - 2025'!A1"/><Relationship Id="rId9" Type="http://schemas.openxmlformats.org/officeDocument/2006/relationships/hyperlink" Target="#'Tarifas 2025'!A1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hyperlink" Target="#Volume_2024!A1"/><Relationship Id="rId3" Type="http://schemas.openxmlformats.org/officeDocument/2006/relationships/hyperlink" Target="#'RTA 2025'!A1"/><Relationship Id="rId7" Type="http://schemas.openxmlformats.org/officeDocument/2006/relationships/hyperlink" Target="#'VPA 2025'!A1"/><Relationship Id="rId2" Type="http://schemas.openxmlformats.org/officeDocument/2006/relationships/hyperlink" Target="#&#205;ndices_2024!A1"/><Relationship Id="rId1" Type="http://schemas.openxmlformats.org/officeDocument/2006/relationships/hyperlink" Target="#F&#243;rmulas!A1"/><Relationship Id="rId6" Type="http://schemas.openxmlformats.org/officeDocument/2006/relationships/hyperlink" Target="#'VPB 2025'!A1"/><Relationship Id="rId5" Type="http://schemas.openxmlformats.org/officeDocument/2006/relationships/hyperlink" Target="#'B&#244;nus-Desconto'!A1"/><Relationship Id="rId10" Type="http://schemas.openxmlformats.org/officeDocument/2006/relationships/hyperlink" Target="#'Outros CF'!A1"/><Relationship Id="rId4" Type="http://schemas.openxmlformats.org/officeDocument/2006/relationships/hyperlink" Target="#'CF - 2025'!A1"/><Relationship Id="rId9" Type="http://schemas.openxmlformats.org/officeDocument/2006/relationships/hyperlink" Target="#'Tarifas 2025'!A1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hyperlink" Target="#'Tarifas 2025'!A1"/><Relationship Id="rId3" Type="http://schemas.openxmlformats.org/officeDocument/2006/relationships/hyperlink" Target="#'CF - 2025'!A1"/><Relationship Id="rId7" Type="http://schemas.openxmlformats.org/officeDocument/2006/relationships/hyperlink" Target="#Volume_2024!A1"/><Relationship Id="rId2" Type="http://schemas.openxmlformats.org/officeDocument/2006/relationships/hyperlink" Target="#'RTA 2025'!A1"/><Relationship Id="rId1" Type="http://schemas.openxmlformats.org/officeDocument/2006/relationships/hyperlink" Target="#&#205;ndices_2024!A1"/><Relationship Id="rId6" Type="http://schemas.openxmlformats.org/officeDocument/2006/relationships/hyperlink" Target="#'VPA 2025'!A1"/><Relationship Id="rId5" Type="http://schemas.openxmlformats.org/officeDocument/2006/relationships/hyperlink" Target="#'VPB 2025'!A1"/><Relationship Id="rId4" Type="http://schemas.openxmlformats.org/officeDocument/2006/relationships/hyperlink" Target="#'B&#244;nus-Desconto'!A1"/><Relationship Id="rId9" Type="http://schemas.openxmlformats.org/officeDocument/2006/relationships/hyperlink" Target="#'Outros CF'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hyperlink" Target="#'Outros CF'!A1"/><Relationship Id="rId3" Type="http://schemas.openxmlformats.org/officeDocument/2006/relationships/hyperlink" Target="#'CF - 2025'!A1"/><Relationship Id="rId7" Type="http://schemas.openxmlformats.org/officeDocument/2006/relationships/hyperlink" Target="#Volume_2024!A1"/><Relationship Id="rId2" Type="http://schemas.openxmlformats.org/officeDocument/2006/relationships/hyperlink" Target="#'RTA 2025'!A1"/><Relationship Id="rId1" Type="http://schemas.openxmlformats.org/officeDocument/2006/relationships/hyperlink" Target="#&#205;ndices_2024!A1"/><Relationship Id="rId6" Type="http://schemas.openxmlformats.org/officeDocument/2006/relationships/hyperlink" Target="#'VPA 2025'!A1"/><Relationship Id="rId5" Type="http://schemas.openxmlformats.org/officeDocument/2006/relationships/hyperlink" Target="#'VPB 2025'!A1"/><Relationship Id="rId4" Type="http://schemas.openxmlformats.org/officeDocument/2006/relationships/hyperlink" Target="#'B&#244;nus-Desconto'!A1"/><Relationship Id="rId9" Type="http://schemas.openxmlformats.org/officeDocument/2006/relationships/hyperlink" Target="#'Tarifas 2025'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'VPB 2025'!A1"/><Relationship Id="rId3" Type="http://schemas.openxmlformats.org/officeDocument/2006/relationships/image" Target="../media/image6.svg"/><Relationship Id="rId7" Type="http://schemas.openxmlformats.org/officeDocument/2006/relationships/hyperlink" Target="#'B&#244;nus-Desconto'!A1"/><Relationship Id="rId12" Type="http://schemas.openxmlformats.org/officeDocument/2006/relationships/hyperlink" Target="#'Outros CF'!A1"/><Relationship Id="rId2" Type="http://schemas.openxmlformats.org/officeDocument/2006/relationships/image" Target="../media/image5.png"/><Relationship Id="rId1" Type="http://schemas.openxmlformats.org/officeDocument/2006/relationships/hyperlink" Target="#F&#243;rmulas!A1"/><Relationship Id="rId6" Type="http://schemas.openxmlformats.org/officeDocument/2006/relationships/hyperlink" Target="#'CF - 2025'!A1"/><Relationship Id="rId11" Type="http://schemas.openxmlformats.org/officeDocument/2006/relationships/hyperlink" Target="#'Tarifas 2025'!A1"/><Relationship Id="rId5" Type="http://schemas.openxmlformats.org/officeDocument/2006/relationships/hyperlink" Target="#'RTA 2025'!A1"/><Relationship Id="rId10" Type="http://schemas.openxmlformats.org/officeDocument/2006/relationships/hyperlink" Target="#Volume_2024!A1"/><Relationship Id="rId4" Type="http://schemas.openxmlformats.org/officeDocument/2006/relationships/hyperlink" Target="#&#205;ndices_2024!A1"/><Relationship Id="rId9" Type="http://schemas.openxmlformats.org/officeDocument/2006/relationships/hyperlink" Target="#'VPA 2025'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Volume_2024!A1"/><Relationship Id="rId3" Type="http://schemas.openxmlformats.org/officeDocument/2006/relationships/hyperlink" Target="#'RTA 2025'!A1"/><Relationship Id="rId7" Type="http://schemas.openxmlformats.org/officeDocument/2006/relationships/hyperlink" Target="#'VPA 2025'!A1"/><Relationship Id="rId2" Type="http://schemas.openxmlformats.org/officeDocument/2006/relationships/hyperlink" Target="#&#205;ndices_2024!A1"/><Relationship Id="rId1" Type="http://schemas.openxmlformats.org/officeDocument/2006/relationships/chart" Target="../charts/chart1.xml"/><Relationship Id="rId6" Type="http://schemas.openxmlformats.org/officeDocument/2006/relationships/hyperlink" Target="#'VPB 2025'!A1"/><Relationship Id="rId5" Type="http://schemas.openxmlformats.org/officeDocument/2006/relationships/hyperlink" Target="#'B&#244;nus-Desconto'!A1"/><Relationship Id="rId10" Type="http://schemas.openxmlformats.org/officeDocument/2006/relationships/hyperlink" Target="#'Outros CF'!A1"/><Relationship Id="rId4" Type="http://schemas.openxmlformats.org/officeDocument/2006/relationships/hyperlink" Target="#'CF - 2025'!A1"/><Relationship Id="rId9" Type="http://schemas.openxmlformats.org/officeDocument/2006/relationships/hyperlink" Target="#'Tarifas 2025'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Volume_2024!A1"/><Relationship Id="rId3" Type="http://schemas.openxmlformats.org/officeDocument/2006/relationships/hyperlink" Target="#'RTA 2025'!A1"/><Relationship Id="rId7" Type="http://schemas.openxmlformats.org/officeDocument/2006/relationships/hyperlink" Target="#'VPA 2025'!A1"/><Relationship Id="rId2" Type="http://schemas.openxmlformats.org/officeDocument/2006/relationships/hyperlink" Target="#&#205;ndices_2024!A1"/><Relationship Id="rId1" Type="http://schemas.openxmlformats.org/officeDocument/2006/relationships/chart" Target="../charts/chart2.xml"/><Relationship Id="rId6" Type="http://schemas.openxmlformats.org/officeDocument/2006/relationships/hyperlink" Target="#'VPB 2025'!A1"/><Relationship Id="rId5" Type="http://schemas.openxmlformats.org/officeDocument/2006/relationships/hyperlink" Target="#'B&#244;nus-Desconto'!A1"/><Relationship Id="rId10" Type="http://schemas.openxmlformats.org/officeDocument/2006/relationships/hyperlink" Target="#'Outros CF'!A1"/><Relationship Id="rId4" Type="http://schemas.openxmlformats.org/officeDocument/2006/relationships/hyperlink" Target="#'CF - 2025'!A1"/><Relationship Id="rId9" Type="http://schemas.openxmlformats.org/officeDocument/2006/relationships/hyperlink" Target="#'Tarifas 2025'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Tarifas 2025'!A1"/><Relationship Id="rId3" Type="http://schemas.openxmlformats.org/officeDocument/2006/relationships/hyperlink" Target="#'CF - 2025'!A1"/><Relationship Id="rId7" Type="http://schemas.openxmlformats.org/officeDocument/2006/relationships/hyperlink" Target="#Volume_2024!A1"/><Relationship Id="rId2" Type="http://schemas.openxmlformats.org/officeDocument/2006/relationships/hyperlink" Target="#'RTA 2025'!A1"/><Relationship Id="rId1" Type="http://schemas.openxmlformats.org/officeDocument/2006/relationships/hyperlink" Target="#&#205;ndices_2024!A1"/><Relationship Id="rId6" Type="http://schemas.openxmlformats.org/officeDocument/2006/relationships/hyperlink" Target="#'VPA 2025'!A1"/><Relationship Id="rId5" Type="http://schemas.openxmlformats.org/officeDocument/2006/relationships/hyperlink" Target="#'VPB 2025'!A1"/><Relationship Id="rId4" Type="http://schemas.openxmlformats.org/officeDocument/2006/relationships/hyperlink" Target="#'B&#244;nus-Desconto'!A1"/><Relationship Id="rId9" Type="http://schemas.openxmlformats.org/officeDocument/2006/relationships/hyperlink" Target="#'Outros CF'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'Tarifas 2025'!A1"/><Relationship Id="rId3" Type="http://schemas.openxmlformats.org/officeDocument/2006/relationships/hyperlink" Target="#'CF - 2025'!A1"/><Relationship Id="rId7" Type="http://schemas.openxmlformats.org/officeDocument/2006/relationships/hyperlink" Target="#Volume_2024!A1"/><Relationship Id="rId2" Type="http://schemas.openxmlformats.org/officeDocument/2006/relationships/hyperlink" Target="#'RTA 2025'!A1"/><Relationship Id="rId1" Type="http://schemas.openxmlformats.org/officeDocument/2006/relationships/hyperlink" Target="#&#205;ndices_2024!A1"/><Relationship Id="rId6" Type="http://schemas.openxmlformats.org/officeDocument/2006/relationships/hyperlink" Target="#'VPA 2025'!A1"/><Relationship Id="rId5" Type="http://schemas.openxmlformats.org/officeDocument/2006/relationships/hyperlink" Target="#'VPB 2025'!A1"/><Relationship Id="rId4" Type="http://schemas.openxmlformats.org/officeDocument/2006/relationships/hyperlink" Target="#'B&#244;nus-Desconto'!A1"/><Relationship Id="rId9" Type="http://schemas.openxmlformats.org/officeDocument/2006/relationships/hyperlink" Target="#'Outros CF'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Volume_2024!A1"/><Relationship Id="rId3" Type="http://schemas.openxmlformats.org/officeDocument/2006/relationships/hyperlink" Target="#&#205;ndices_2024!A1"/><Relationship Id="rId7" Type="http://schemas.openxmlformats.org/officeDocument/2006/relationships/hyperlink" Target="#'VPA 2025'!A1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hyperlink" Target="#'B&#244;nus-Desconto'!A1"/><Relationship Id="rId11" Type="http://schemas.openxmlformats.org/officeDocument/2006/relationships/hyperlink" Target="#'VPB 2025'!A1"/><Relationship Id="rId5" Type="http://schemas.openxmlformats.org/officeDocument/2006/relationships/hyperlink" Target="#'CF - 2025'!A1"/><Relationship Id="rId10" Type="http://schemas.openxmlformats.org/officeDocument/2006/relationships/hyperlink" Target="#'Outros CF'!A1"/><Relationship Id="rId4" Type="http://schemas.openxmlformats.org/officeDocument/2006/relationships/hyperlink" Target="#'RTA 2025'!A1"/><Relationship Id="rId9" Type="http://schemas.openxmlformats.org/officeDocument/2006/relationships/hyperlink" Target="#'Tarifas 2025'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'Tarifas 2025'!A1"/><Relationship Id="rId3" Type="http://schemas.openxmlformats.org/officeDocument/2006/relationships/hyperlink" Target="#'CF - 2025'!A1"/><Relationship Id="rId7" Type="http://schemas.openxmlformats.org/officeDocument/2006/relationships/hyperlink" Target="#Volume_2024!A1"/><Relationship Id="rId2" Type="http://schemas.openxmlformats.org/officeDocument/2006/relationships/hyperlink" Target="#'RTA 2025'!A1"/><Relationship Id="rId1" Type="http://schemas.openxmlformats.org/officeDocument/2006/relationships/hyperlink" Target="#&#205;ndices_2024!A1"/><Relationship Id="rId6" Type="http://schemas.openxmlformats.org/officeDocument/2006/relationships/hyperlink" Target="#'VPA 2025'!A1"/><Relationship Id="rId5" Type="http://schemas.openxmlformats.org/officeDocument/2006/relationships/hyperlink" Target="#'VPB 2025'!A1"/><Relationship Id="rId4" Type="http://schemas.openxmlformats.org/officeDocument/2006/relationships/hyperlink" Target="#'B&#244;nus-Desconto'!A1"/><Relationship Id="rId9" Type="http://schemas.openxmlformats.org/officeDocument/2006/relationships/hyperlink" Target="#'Outros CF'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'Tarifas 2025'!A1"/><Relationship Id="rId3" Type="http://schemas.openxmlformats.org/officeDocument/2006/relationships/hyperlink" Target="#'CF - 2025'!A1"/><Relationship Id="rId7" Type="http://schemas.openxmlformats.org/officeDocument/2006/relationships/hyperlink" Target="#Volume_2024!A1"/><Relationship Id="rId2" Type="http://schemas.openxmlformats.org/officeDocument/2006/relationships/hyperlink" Target="#'RTA 2025'!A1"/><Relationship Id="rId1" Type="http://schemas.openxmlformats.org/officeDocument/2006/relationships/hyperlink" Target="#&#205;ndices_2024!A1"/><Relationship Id="rId6" Type="http://schemas.openxmlformats.org/officeDocument/2006/relationships/hyperlink" Target="#'VPA 2025'!A1"/><Relationship Id="rId5" Type="http://schemas.openxmlformats.org/officeDocument/2006/relationships/hyperlink" Target="#'VPB 2025'!A1"/><Relationship Id="rId4" Type="http://schemas.openxmlformats.org/officeDocument/2006/relationships/hyperlink" Target="#'B&#244;nus-Desconto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304801</xdr:colOff>
      <xdr:row>6</xdr:row>
      <xdr:rowOff>14574</xdr:rowOff>
    </xdr:from>
    <xdr:to>
      <xdr:col>27</xdr:col>
      <xdr:colOff>304801</xdr:colOff>
      <xdr:row>11</xdr:row>
      <xdr:rowOff>152400</xdr:rowOff>
    </xdr:to>
    <xdr:sp macro="" textlink="">
      <xdr:nvSpPr>
        <xdr:cNvPr id="48" name="CaixaDeTexto 47">
          <a:extLst>
            <a:ext uri="{FF2B5EF4-FFF2-40B4-BE49-F238E27FC236}">
              <a16:creationId xmlns:a16="http://schemas.microsoft.com/office/drawing/2014/main" id="{B09D8245-97FC-4C85-A3DB-112AD695FF2D}"/>
            </a:ext>
          </a:extLst>
        </xdr:cNvPr>
        <xdr:cNvSpPr txBox="1"/>
      </xdr:nvSpPr>
      <xdr:spPr>
        <a:xfrm>
          <a:off x="304801" y="1062324"/>
          <a:ext cx="14849475" cy="10903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pt-BR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Reajuste Tarifário Anual é</a:t>
          </a:r>
          <a:r>
            <a:rPr lang="pt-BR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um dos mecanismos de atualização do valor das</a:t>
          </a:r>
          <a:r>
            <a:rPr lang="pt-BR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tarifas de água</a:t>
          </a:r>
          <a:r>
            <a:rPr lang="pt-BR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paga pelo usuário, aplicado anualmente, conforme</a:t>
          </a:r>
          <a:r>
            <a:rPr lang="pt-BR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</a:t>
          </a:r>
          <a:r>
            <a:rPr lang="pt-BR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fórmula prevista no contrato de concessão</a:t>
          </a:r>
          <a:r>
            <a:rPr lang="pt-BR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Nº 001/2006-ADASA. A fórmula utilizada para a apuração do índice de reajuste tarifário busca preservar o poder aquisitivo da receita da empresa, que tende a ser impactado por pressões inflacionárias.</a:t>
          </a:r>
        </a:p>
        <a:p>
          <a:endParaRPr lang="pt-BR" sz="1100" b="0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pt-BR" sz="1100" b="0" i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1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FÓRMULAS:</a:t>
          </a:r>
        </a:p>
      </xdr:txBody>
    </xdr:sp>
    <xdr:clientData/>
  </xdr:twoCellAnchor>
  <xdr:oneCellAnchor>
    <xdr:from>
      <xdr:col>1</xdr:col>
      <xdr:colOff>153912</xdr:colOff>
      <xdr:row>11</xdr:row>
      <xdr:rowOff>150901</xdr:rowOff>
    </xdr:from>
    <xdr:ext cx="3390655" cy="57654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9" name="CaixaDeTexto 48">
              <a:extLst>
                <a:ext uri="{FF2B5EF4-FFF2-40B4-BE49-F238E27FC236}">
                  <a16:creationId xmlns:a16="http://schemas.microsoft.com/office/drawing/2014/main" id="{5EDA9356-A2CD-4157-9AF5-ECF34E2ED5E4}"/>
                </a:ext>
              </a:extLst>
            </xdr:cNvPr>
            <xdr:cNvSpPr txBox="1"/>
          </xdr:nvSpPr>
          <xdr:spPr>
            <a:xfrm>
              <a:off x="763512" y="2151151"/>
              <a:ext cx="3390655" cy="5765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500" b="1" i="1">
                  <a:solidFill>
                    <a:sysClr val="windowText" lastClr="000000"/>
                  </a:solidFill>
                  <a:latin typeface="+mj-lt"/>
                </a:rPr>
                <a:t>IRT</a:t>
              </a:r>
              <a:r>
                <a:rPr lang="pt-BR" sz="150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  <a14:m>
                <m:oMath xmlns:m="http://schemas.openxmlformats.org/officeDocument/2006/math">
                  <m:r>
                    <a:rPr lang="pt-BR" sz="15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= </m:t>
                  </m:r>
                  <m:f>
                    <m:fPr>
                      <m:ctrlPr>
                        <a:rPr lang="pt-BR" sz="15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𝑻𝑨</m:t>
                          </m:r>
                        </m:e>
                        <m:sub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𝑫𝑹𝑷</m:t>
                          </m:r>
                        </m:sub>
                      </m:sSub>
                      <m:r>
                        <a:rPr lang="pt-BR" sz="15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 + </m:t>
                      </m:r>
                      <m:sSub>
                        <m:sSubPr>
                          <m:ctrlP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𝑻𝑨</m:t>
                          </m:r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−</m:t>
                          </m:r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𝑩𝑫</m:t>
                          </m:r>
                        </m:e>
                        <m:sub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𝑫𝑹𝑷</m:t>
                          </m:r>
                        </m:sub>
                      </m:sSub>
                      <m:r>
                        <a:rPr lang="pt-BR" sz="15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+ </m:t>
                      </m:r>
                      <m:sSub>
                        <m:sSubPr>
                          <m:ctrlP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𝑻𝑩</m:t>
                          </m:r>
                        </m:e>
                        <m:sub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𝑫𝑹𝑷</m:t>
                          </m:r>
                        </m:sub>
                      </m:sSub>
                      <m:r>
                        <a:rPr lang="pt-BR" sz="15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 + </m:t>
                      </m:r>
                      <m:sSub>
                        <m:sSubPr>
                          <m:ctrlP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𝑻𝑭</m:t>
                          </m:r>
                        </m:e>
                        <m:sub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𝑫𝑹𝑷</m:t>
                          </m:r>
                        </m:sub>
                      </m:sSub>
                    </m:num>
                    <m:den>
                      <m:sSub>
                        <m:sSubPr>
                          <m:ctrlP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𝑻𝑨</m:t>
                          </m:r>
                        </m:e>
                        <m:sub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𝑫𝑹𝑨</m:t>
                          </m:r>
                        </m:sub>
                      </m:sSub>
                      <m:r>
                        <a:rPr lang="pt-BR" sz="15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 + </m:t>
                      </m:r>
                      <m:sSub>
                        <m:sSubPr>
                          <m:ctrlP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sSub>
                            <m:sSubPr>
                              <m:ctrlPr>
                                <a:rPr lang="pt-BR" sz="1500" b="1" i="1">
                                  <a:solidFill>
                                    <a:sysClr val="windowText" lastClr="000000"/>
                                  </a:solidFill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a:rPr lang="pt-BR" sz="1500" b="1" i="1">
                                  <a:solidFill>
                                    <a:sysClr val="windowText" lastClr="000000"/>
                                  </a:solidFill>
                                  <a:latin typeface="Cambria Math" panose="02040503050406030204" pitchFamily="18" charset="0"/>
                                </a:rPr>
                                <m:t>𝑻𝑨</m:t>
                              </m:r>
                              <m:r>
                                <a:rPr lang="pt-BR" sz="1500" b="1" i="1">
                                  <a:solidFill>
                                    <a:sysClr val="windowText" lastClr="000000"/>
                                  </a:solidFill>
                                  <a:latin typeface="Cambria Math" panose="02040503050406030204" pitchFamily="18" charset="0"/>
                                </a:rPr>
                                <m:t>−</m:t>
                              </m:r>
                              <m:r>
                                <a:rPr lang="pt-BR" sz="1500" b="1" i="1">
                                  <a:solidFill>
                                    <a:sysClr val="windowText" lastClr="000000"/>
                                  </a:solidFill>
                                  <a:latin typeface="Cambria Math" panose="02040503050406030204" pitchFamily="18" charset="0"/>
                                </a:rPr>
                                <m:t>𝑩𝑫</m:t>
                              </m:r>
                            </m:e>
                            <m:sub>
                              <m:r>
                                <a:rPr lang="pt-BR" sz="1500" b="1" i="1">
                                  <a:solidFill>
                                    <a:sysClr val="windowText" lastClr="000000"/>
                                  </a:solidFill>
                                  <a:latin typeface="Cambria Math" panose="02040503050406030204" pitchFamily="18" charset="0"/>
                                </a:rPr>
                                <m:t>𝑫𝑹𝑨</m:t>
                              </m:r>
                            </m:sub>
                          </m:sSub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+ </m:t>
                          </m:r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𝑻𝑩</m:t>
                          </m:r>
                        </m:e>
                        <m:sub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𝑫𝑹𝑨</m:t>
                          </m:r>
                        </m:sub>
                      </m:sSub>
                      <m:r>
                        <a:rPr lang="pt-BR" sz="15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 + </m:t>
                      </m:r>
                      <m:sSub>
                        <m:sSubPr>
                          <m:ctrlP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𝑻𝑭</m:t>
                          </m:r>
                        </m:e>
                        <m:sub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𝑫𝑹𝑨</m:t>
                          </m:r>
                        </m:sub>
                      </m:sSub>
                    </m:den>
                  </m:f>
                </m:oMath>
              </a14:m>
              <a:endParaRPr lang="pt-BR" sz="1500" b="1">
                <a:solidFill>
                  <a:schemeClr val="tx2"/>
                </a:solidFill>
              </a:endParaRPr>
            </a:p>
          </xdr:txBody>
        </xdr:sp>
      </mc:Choice>
      <mc:Fallback xmlns="">
        <xdr:sp macro="" textlink="">
          <xdr:nvSpPr>
            <xdr:cNvPr id="49" name="CaixaDeTexto 48">
              <a:extLst>
                <a:ext uri="{FF2B5EF4-FFF2-40B4-BE49-F238E27FC236}">
                  <a16:creationId xmlns:a16="http://schemas.microsoft.com/office/drawing/2014/main" id="{5EDA9356-A2CD-4157-9AF5-ECF34E2ED5E4}"/>
                </a:ext>
              </a:extLst>
            </xdr:cNvPr>
            <xdr:cNvSpPr txBox="1"/>
          </xdr:nvSpPr>
          <xdr:spPr>
            <a:xfrm>
              <a:off x="763512" y="2151151"/>
              <a:ext cx="3390655" cy="5765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500" b="1" i="1">
                  <a:solidFill>
                    <a:sysClr val="windowText" lastClr="000000"/>
                  </a:solidFill>
                  <a:latin typeface="+mj-lt"/>
                </a:rPr>
                <a:t>IRT</a:t>
              </a:r>
              <a:r>
                <a:rPr lang="pt-BR" sz="150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  <a:r>
                <a:rPr lang="pt-BR" sz="15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=  (〖𝑻𝑨〗_𝑫𝑹𝑷  + 〖𝑻𝑨−𝑩𝑫〗_𝑫𝑹𝑷+ 〖𝑻𝑩〗_𝑫𝑹𝑷  + 〖𝑻𝑭〗_𝑫𝑹𝑷)/(〖𝑻𝑨〗_𝑫𝑹𝑨  + 〖〖𝑻𝑨−𝑩𝑫〗_𝑫𝑹𝑨+ 𝑻𝑩〗_𝑫𝑹𝑨  + 〖𝑻𝑭〗_𝑫𝑹𝑨 )</a:t>
              </a:r>
              <a:endParaRPr lang="pt-BR" sz="1500" b="1">
                <a:solidFill>
                  <a:schemeClr val="tx2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130175</xdr:colOff>
      <xdr:row>30</xdr:row>
      <xdr:rowOff>87500</xdr:rowOff>
    </xdr:from>
    <xdr:ext cx="1841500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5" name="CaixaDeTexto 64">
              <a:extLst>
                <a:ext uri="{FF2B5EF4-FFF2-40B4-BE49-F238E27FC236}">
                  <a16:creationId xmlns:a16="http://schemas.microsoft.com/office/drawing/2014/main" id="{25454923-7F8F-491F-8617-3A345CFA8B48}"/>
                </a:ext>
              </a:extLst>
            </xdr:cNvPr>
            <xdr:cNvSpPr txBox="1"/>
          </xdr:nvSpPr>
          <xdr:spPr>
            <a:xfrm>
              <a:off x="739775" y="5707250"/>
              <a:ext cx="1841500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400" b="1" i="0" baseline="0">
                  <a:solidFill>
                    <a:schemeClr val="tx2"/>
                  </a:solidFill>
                  <a:latin typeface="+mn-lt"/>
                </a:rPr>
                <a:t> </a:t>
              </a:r>
              <a14:m>
                <m:oMath xmlns:m="http://schemas.openxmlformats.org/officeDocument/2006/math">
                  <m:sSub>
                    <m:sSubPr>
                      <m:ctrlPr>
                        <a:rPr lang="pt-BR" sz="13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3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𝑻𝑨</m:t>
                      </m:r>
                    </m:e>
                    <m:sub>
                      <m:r>
                        <a:rPr lang="pt-BR" sz="13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𝑫𝑹𝑷</m:t>
                      </m:r>
                    </m:sub>
                  </m:sSub>
                  <m:r>
                    <a:rPr lang="pt-BR" sz="135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= </m:t>
                  </m:r>
                  <m:f>
                    <m:fPr>
                      <m:ctrlPr>
                        <a:rPr lang="pt-BR" sz="13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lang="pt-BR" sz="135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pt-BR" sz="135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𝑽𝑷𝑨</m:t>
                          </m:r>
                        </m:e>
                        <m:sub>
                          <m:r>
                            <a:rPr lang="pt-BR" sz="135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𝑫𝑹𝑷</m:t>
                          </m:r>
                        </m:sub>
                      </m:sSub>
                    </m:num>
                    <m:den>
                      <m:r>
                        <a:rPr lang="pt-BR" sz="13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𝑴𝑹</m:t>
                      </m:r>
                    </m:den>
                  </m:f>
                </m:oMath>
              </a14:m>
              <a:endParaRPr lang="pt-BR" sz="1350" b="1">
                <a:solidFill>
                  <a:schemeClr val="tx2"/>
                </a:solidFill>
              </a:endParaRPr>
            </a:p>
          </xdr:txBody>
        </xdr:sp>
      </mc:Choice>
      <mc:Fallback xmlns="">
        <xdr:sp macro="" textlink="">
          <xdr:nvSpPr>
            <xdr:cNvPr id="65" name="CaixaDeTexto 64">
              <a:extLst>
                <a:ext uri="{FF2B5EF4-FFF2-40B4-BE49-F238E27FC236}">
                  <a16:creationId xmlns:a16="http://schemas.microsoft.com/office/drawing/2014/main" id="{25454923-7F8F-491F-8617-3A345CFA8B48}"/>
                </a:ext>
              </a:extLst>
            </xdr:cNvPr>
            <xdr:cNvSpPr txBox="1"/>
          </xdr:nvSpPr>
          <xdr:spPr>
            <a:xfrm>
              <a:off x="739775" y="5707250"/>
              <a:ext cx="1841500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400" b="1" i="0" baseline="0">
                  <a:solidFill>
                    <a:schemeClr val="tx2"/>
                  </a:solidFill>
                  <a:latin typeface="+mn-lt"/>
                </a:rPr>
                <a:t> </a:t>
              </a:r>
              <a:r>
                <a:rPr lang="pt-BR" sz="135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〖𝑻𝑨〗_𝑫𝑹𝑷=  〖𝑽𝑷𝑨〗_𝑫𝑹𝑷/𝑴𝑹</a:t>
              </a:r>
              <a:endParaRPr lang="pt-BR" sz="1350" b="1">
                <a:solidFill>
                  <a:schemeClr val="tx2"/>
                </a:solidFill>
              </a:endParaRPr>
            </a:p>
          </xdr:txBody>
        </xdr:sp>
      </mc:Fallback>
    </mc:AlternateContent>
    <xdr:clientData/>
  </xdr:oneCellAnchor>
  <xdr:oneCellAnchor>
    <xdr:from>
      <xdr:col>5</xdr:col>
      <xdr:colOff>288925</xdr:colOff>
      <xdr:row>31</xdr:row>
      <xdr:rowOff>33051</xdr:rowOff>
    </xdr:from>
    <xdr:ext cx="5873750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6" name="CaixaDeTexto 65">
              <a:extLst>
                <a:ext uri="{FF2B5EF4-FFF2-40B4-BE49-F238E27FC236}">
                  <a16:creationId xmlns:a16="http://schemas.microsoft.com/office/drawing/2014/main" id="{701CDF05-982A-40F9-90AB-EFE97ABCB484}"/>
                </a:ext>
              </a:extLst>
            </xdr:cNvPr>
            <xdr:cNvSpPr txBox="1"/>
          </xdr:nvSpPr>
          <xdr:spPr>
            <a:xfrm>
              <a:off x="3336925" y="5843301"/>
              <a:ext cx="5873750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00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𝑽𝑷𝑨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𝑫𝑹𝑷</m:t>
                      </m:r>
                    </m:sub>
                  </m:sSub>
                  <m:r>
                    <a:rPr lang="pt-BR" sz="10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</m:oMath>
              </a14:m>
              <a:r>
                <a:rPr lang="pt-BR" sz="1000" b="0" i="1">
                  <a:solidFill>
                    <a:sysClr val="windowText" lastClr="000000"/>
                  </a:solidFill>
                </a:rPr>
                <a:t>: Valor</a:t>
              </a:r>
              <a:r>
                <a:rPr lang="pt-BR" sz="1000" b="0" i="1" baseline="0">
                  <a:solidFill>
                    <a:sysClr val="windowText" lastClr="000000"/>
                  </a:solidFill>
                </a:rPr>
                <a:t>, em reais, dos componentes da Parcela A na DRP, cuja metodologia de apuração será estabelecida pela ADASA por meio de regulamentação específica.</a:t>
              </a:r>
              <a:endParaRPr lang="pt-BR" sz="1000" b="0" i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66" name="CaixaDeTexto 65">
              <a:extLst>
                <a:ext uri="{FF2B5EF4-FFF2-40B4-BE49-F238E27FC236}">
                  <a16:creationId xmlns:a16="http://schemas.microsoft.com/office/drawing/2014/main" id="{701CDF05-982A-40F9-90AB-EFE97ABCB484}"/>
                </a:ext>
              </a:extLst>
            </xdr:cNvPr>
            <xdr:cNvSpPr txBox="1"/>
          </xdr:nvSpPr>
          <xdr:spPr>
            <a:xfrm>
              <a:off x="3336925" y="5843301"/>
              <a:ext cx="5873750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00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  <a:r>
                <a:rPr lang="pt-BR" sz="10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〖𝑽𝑷𝑨〗_𝑫𝑹𝑷  </a:t>
              </a:r>
              <a:r>
                <a:rPr lang="pt-BR" sz="1000" b="0" i="1">
                  <a:solidFill>
                    <a:sysClr val="windowText" lastClr="000000"/>
                  </a:solidFill>
                </a:rPr>
                <a:t>: Valor</a:t>
              </a:r>
              <a:r>
                <a:rPr lang="pt-BR" sz="1000" b="0" i="1" baseline="0">
                  <a:solidFill>
                    <a:sysClr val="windowText" lastClr="000000"/>
                  </a:solidFill>
                </a:rPr>
                <a:t>, em reais, dos componentes da Parcela A na DRP, cuja metodologia de apuração será estabelecida pela ADASA por meio de regulamentação específica.</a:t>
              </a:r>
              <a:endParaRPr lang="pt-BR" sz="1000" b="0" i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92074</xdr:colOff>
      <xdr:row>35</xdr:row>
      <xdr:rowOff>156876</xdr:rowOff>
    </xdr:from>
    <xdr:ext cx="2910418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0" name="CaixaDeTexto 69">
              <a:extLst>
                <a:ext uri="{FF2B5EF4-FFF2-40B4-BE49-F238E27FC236}">
                  <a16:creationId xmlns:a16="http://schemas.microsoft.com/office/drawing/2014/main" id="{487CF8CD-570F-4D19-B73D-2B51F51870B9}"/>
                </a:ext>
              </a:extLst>
            </xdr:cNvPr>
            <xdr:cNvSpPr txBox="1"/>
          </xdr:nvSpPr>
          <xdr:spPr>
            <a:xfrm>
              <a:off x="701674" y="6729126"/>
              <a:ext cx="2910418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400" b="1" i="0" baseline="0">
                  <a:solidFill>
                    <a:schemeClr val="tx2"/>
                  </a:solidFill>
                  <a:latin typeface="+mn-lt"/>
                </a:rPr>
                <a:t> </a:t>
              </a:r>
              <a14:m>
                <m:oMath xmlns:m="http://schemas.openxmlformats.org/officeDocument/2006/math">
                  <m:sSub>
                    <m:sSubPr>
                      <m:ctrlPr>
                        <a:rPr lang="pt-BR" sz="11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1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𝑻𝑩</m:t>
                      </m:r>
                    </m:e>
                    <m:sub>
                      <m:r>
                        <a:rPr lang="pt-BR" sz="11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𝑫𝑹𝑷</m:t>
                      </m:r>
                    </m:sub>
                  </m:sSub>
                  <m:r>
                    <a:rPr lang="pt-BR" sz="115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= </m:t>
                  </m:r>
                  <m:sSub>
                    <m:sSubPr>
                      <m:ctrlPr>
                        <a:rPr lang="pt-BR" sz="11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1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𝑻𝑩</m:t>
                      </m:r>
                    </m:e>
                    <m:sub>
                      <m:r>
                        <a:rPr lang="pt-BR" sz="11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𝑫𝑹𝑨</m:t>
                      </m:r>
                      <m:r>
                        <a:rPr lang="pt-BR" sz="11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 </m:t>
                      </m:r>
                    </m:sub>
                  </m:sSub>
                  <m:r>
                    <a:rPr lang="pt-BR" sz="115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×(</m:t>
                  </m:r>
                  <m:r>
                    <a:rPr lang="pt-BR" sz="115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𝑰𝒓𝑩</m:t>
                  </m:r>
                  <m:r>
                    <a:rPr lang="pt-BR" sz="115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−</m:t>
                  </m:r>
                  <m:r>
                    <a:rPr lang="pt-BR" sz="115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𝑿</m:t>
                  </m:r>
                  <m:r>
                    <a:rPr lang="pt-BR" sz="115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)</m:t>
                  </m:r>
                </m:oMath>
              </a14:m>
              <a:endParaRPr lang="pt-BR" sz="1150" b="1">
                <a:solidFill>
                  <a:schemeClr val="tx2"/>
                </a:solidFill>
              </a:endParaRPr>
            </a:p>
          </xdr:txBody>
        </xdr:sp>
      </mc:Choice>
      <mc:Fallback xmlns="">
        <xdr:sp macro="" textlink="">
          <xdr:nvSpPr>
            <xdr:cNvPr id="70" name="CaixaDeTexto 69">
              <a:extLst>
                <a:ext uri="{FF2B5EF4-FFF2-40B4-BE49-F238E27FC236}">
                  <a16:creationId xmlns:a16="http://schemas.microsoft.com/office/drawing/2014/main" id="{487CF8CD-570F-4D19-B73D-2B51F51870B9}"/>
                </a:ext>
              </a:extLst>
            </xdr:cNvPr>
            <xdr:cNvSpPr txBox="1"/>
          </xdr:nvSpPr>
          <xdr:spPr>
            <a:xfrm>
              <a:off x="701674" y="6729126"/>
              <a:ext cx="2910418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400" b="1" i="0" baseline="0">
                  <a:solidFill>
                    <a:schemeClr val="tx2"/>
                  </a:solidFill>
                  <a:latin typeface="+mn-lt"/>
                </a:rPr>
                <a:t> </a:t>
              </a:r>
              <a:r>
                <a:rPr lang="pt-BR" sz="115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〖𝑻𝑩〗_𝑫𝑹𝑷= 〖𝑻𝑩〗_(𝑫𝑹𝑨 )</a:t>
              </a:r>
              <a:r>
                <a:rPr lang="pt-BR" sz="1150" b="1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×(𝑰𝒓𝑩 −𝑿)</a:t>
              </a:r>
              <a:endParaRPr lang="pt-BR" sz="1150" b="1">
                <a:solidFill>
                  <a:schemeClr val="tx2"/>
                </a:solidFill>
              </a:endParaRPr>
            </a:p>
          </xdr:txBody>
        </xdr:sp>
      </mc:Fallback>
    </mc:AlternateContent>
    <xdr:clientData/>
  </xdr:oneCellAnchor>
  <xdr:oneCellAnchor>
    <xdr:from>
      <xdr:col>5</xdr:col>
      <xdr:colOff>250825</xdr:colOff>
      <xdr:row>35</xdr:row>
      <xdr:rowOff>175926</xdr:rowOff>
    </xdr:from>
    <xdr:ext cx="5807075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1" name="CaixaDeTexto 70">
              <a:extLst>
                <a:ext uri="{FF2B5EF4-FFF2-40B4-BE49-F238E27FC236}">
                  <a16:creationId xmlns:a16="http://schemas.microsoft.com/office/drawing/2014/main" id="{232A43D8-EA81-4193-817E-FC9A02C09E68}"/>
                </a:ext>
              </a:extLst>
            </xdr:cNvPr>
            <xdr:cNvSpPr txBox="1"/>
          </xdr:nvSpPr>
          <xdr:spPr>
            <a:xfrm>
              <a:off x="3298825" y="6748176"/>
              <a:ext cx="5807075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00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  <a:r>
                <a:rPr lang="pt-BR" sz="1000" b="1" i="1" baseline="0">
                  <a:solidFill>
                    <a:sysClr val="windowText" lastClr="000000"/>
                  </a:solidFill>
                  <a:latin typeface="+mj-lt"/>
                </a:rPr>
                <a:t>IrB</a:t>
              </a:r>
              <a:r>
                <a:rPr lang="pt-BR" sz="100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  <a14:m>
                <m:oMath xmlns:m="http://schemas.openxmlformats.org/officeDocument/2006/math">
                  <m:r>
                    <a:rPr lang="pt-BR" sz="10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=</m:t>
                  </m:r>
                  <m:d>
                    <m:d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d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%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𝑷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×</m:t>
                      </m:r>
                      <m:sSub>
                        <m:sSubPr>
                          <m:ctrlPr>
                            <a:rPr lang="pt-BR" sz="10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∆</m:t>
                          </m:r>
                        </m:e>
                        <m:sub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𝑰𝑵𝑷𝑪</m:t>
                          </m:r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 </m:t>
                          </m:r>
                        </m:sub>
                      </m:sSub>
                    </m:e>
                  </m:d>
                  <m:r>
                    <a:rPr lang="pt-BR" sz="10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+</m:t>
                  </m:r>
                  <m:d>
                    <m:d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</m:ctrlPr>
                    </m:d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%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𝑬𝑬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×</m:t>
                      </m:r>
                      <m:sSub>
                        <m:sSubPr>
                          <m:ctrlP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∆</m:t>
                          </m:r>
                        </m:e>
                        <m:sub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𝑬𝑵𝑬𝑹𝑮𝑰𝑨</m:t>
                          </m:r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</m:sub>
                      </m:sSub>
                    </m:e>
                  </m:d>
                  <m:r>
                    <a:rPr lang="pt-BR" sz="1000" b="1" i="0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+</m:t>
                  </m:r>
                  <m:d>
                    <m:d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%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𝑴𝑻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×</m:t>
                      </m:r>
                      <m:sSub>
                        <m:sSubPr>
                          <m:ctrlP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∆</m:t>
                          </m:r>
                        </m:e>
                        <m:sub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𝑰𝑮𝑷</m:t>
                          </m:r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</m:t>
                          </m:r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𝑴</m:t>
                          </m:r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</m:sub>
                      </m:sSub>
                    </m:e>
                  </m:d>
                  <m:r>
                    <a:rPr lang="pt-BR" sz="1000" b="1" i="0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+</m:t>
                  </m:r>
                  <m:d>
                    <m:d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%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𝑹𝑰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×</m:t>
                      </m:r>
                      <m:sSub>
                        <m:sSubPr>
                          <m:ctrlP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∆</m:t>
                          </m:r>
                        </m:e>
                        <m:sub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𝑰𝑮𝑷</m:t>
                          </m:r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</m:t>
                          </m:r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𝑴</m:t>
                          </m:r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</m:sub>
                      </m:sSub>
                    </m:e>
                  </m:d>
                  <m:r>
                    <a:rPr lang="pt-BR" sz="1000" b="1" i="0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+</m:t>
                  </m:r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(%</m:t>
                  </m:r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𝑶𝑪</m:t>
                  </m:r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×</m:t>
                  </m:r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∆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𝑰𝑷𝑪𝑨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</m:t>
                      </m:r>
                    </m:sub>
                  </m:sSub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)</m:t>
                  </m:r>
                </m:oMath>
              </a14:m>
              <a:endParaRPr lang="pt-BR" sz="10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71" name="CaixaDeTexto 70">
              <a:extLst>
                <a:ext uri="{FF2B5EF4-FFF2-40B4-BE49-F238E27FC236}">
                  <a16:creationId xmlns:a16="http://schemas.microsoft.com/office/drawing/2014/main" id="{232A43D8-EA81-4193-817E-FC9A02C09E68}"/>
                </a:ext>
              </a:extLst>
            </xdr:cNvPr>
            <xdr:cNvSpPr txBox="1"/>
          </xdr:nvSpPr>
          <xdr:spPr>
            <a:xfrm>
              <a:off x="3298825" y="6748176"/>
              <a:ext cx="5807075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00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  <a:r>
                <a:rPr lang="pt-BR" sz="1000" b="1" i="1" baseline="0">
                  <a:solidFill>
                    <a:sysClr val="windowText" lastClr="000000"/>
                  </a:solidFill>
                  <a:latin typeface="+mj-lt"/>
                </a:rPr>
                <a:t>IrB</a:t>
              </a:r>
              <a:r>
                <a:rPr lang="pt-BR" sz="100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  <a:r>
                <a:rPr lang="pt-BR" sz="10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=(%𝑷</a:t>
              </a:r>
              <a:r>
                <a:rPr lang="pt-BR" sz="1000" b="1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×∆_(𝑰𝑵𝑷𝑪</a:t>
              </a:r>
              <a:r>
                <a:rPr lang="pt-BR" sz="10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 ) )+</a:t>
              </a:r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(</a:t>
              </a:r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%𝑬𝑬×∆_(𝑬𝑵𝑬𝑹𝑮𝑰𝑨 ) )</a:t>
              </a:r>
              <a:r>
                <a:rPr lang="pt-BR" sz="1000" b="1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+</a:t>
              </a:r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(%𝑴𝑻×∆_(𝑰𝑮𝑷−𝑴 ) )+(%𝑹𝑰×∆_(𝑰𝑮𝑷−𝑴 ) )+(%𝑶𝑪×∆_(𝑰𝑷𝑪𝑨 ))</a:t>
              </a:r>
              <a:endParaRPr lang="pt-BR" sz="10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104775</xdr:colOff>
      <xdr:row>42</xdr:row>
      <xdr:rowOff>71151</xdr:rowOff>
    </xdr:from>
    <xdr:ext cx="1841500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8" name="CaixaDeTexto 77">
              <a:extLst>
                <a:ext uri="{FF2B5EF4-FFF2-40B4-BE49-F238E27FC236}">
                  <a16:creationId xmlns:a16="http://schemas.microsoft.com/office/drawing/2014/main" id="{57A79926-49C1-4E0A-9DE1-0A81DD206BA3}"/>
                </a:ext>
              </a:extLst>
            </xdr:cNvPr>
            <xdr:cNvSpPr txBox="1"/>
          </xdr:nvSpPr>
          <xdr:spPr>
            <a:xfrm>
              <a:off x="714375" y="7976901"/>
              <a:ext cx="1841500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35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  <a14:m>
                <m:oMath xmlns:m="http://schemas.openxmlformats.org/officeDocument/2006/math">
                  <m:sSub>
                    <m:sSubPr>
                      <m:ctrlPr>
                        <a:rPr lang="pt-BR" sz="13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3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𝑻𝑭</m:t>
                      </m:r>
                    </m:e>
                    <m:sub>
                      <m:r>
                        <a:rPr lang="pt-BR" sz="13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𝑫𝑹𝑷</m:t>
                      </m:r>
                    </m:sub>
                  </m:sSub>
                  <m:r>
                    <a:rPr lang="pt-BR" sz="135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= </m:t>
                  </m:r>
                  <m:f>
                    <m:fPr>
                      <m:ctrlPr>
                        <a:rPr lang="pt-BR" sz="13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pt-BR" sz="13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𝑪𝑭</m:t>
                      </m:r>
                    </m:num>
                    <m:den>
                      <m:r>
                        <a:rPr lang="pt-BR" sz="13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𝑴𝑹</m:t>
                      </m:r>
                    </m:den>
                  </m:f>
                </m:oMath>
              </a14:m>
              <a:endParaRPr lang="pt-BR" sz="135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78" name="CaixaDeTexto 77">
              <a:extLst>
                <a:ext uri="{FF2B5EF4-FFF2-40B4-BE49-F238E27FC236}">
                  <a16:creationId xmlns:a16="http://schemas.microsoft.com/office/drawing/2014/main" id="{57A79926-49C1-4E0A-9DE1-0A81DD206BA3}"/>
                </a:ext>
              </a:extLst>
            </xdr:cNvPr>
            <xdr:cNvSpPr txBox="1"/>
          </xdr:nvSpPr>
          <xdr:spPr>
            <a:xfrm>
              <a:off x="714375" y="7976901"/>
              <a:ext cx="1841500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35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  <a:r>
                <a:rPr lang="pt-BR" sz="135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〖𝑻𝑭〗_𝑫𝑹𝑷=  𝑪𝑭/𝑴𝑹</a:t>
              </a:r>
              <a:endParaRPr lang="pt-BR" sz="135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5</xdr:col>
      <xdr:colOff>197464</xdr:colOff>
      <xdr:row>42</xdr:row>
      <xdr:rowOff>80676</xdr:rowOff>
    </xdr:from>
    <xdr:ext cx="3212486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9" name="CaixaDeTexto 78">
              <a:extLst>
                <a:ext uri="{FF2B5EF4-FFF2-40B4-BE49-F238E27FC236}">
                  <a16:creationId xmlns:a16="http://schemas.microsoft.com/office/drawing/2014/main" id="{336D934F-FD61-451A-B150-5B269267605A}"/>
                </a:ext>
              </a:extLst>
            </xdr:cNvPr>
            <xdr:cNvSpPr txBox="1"/>
          </xdr:nvSpPr>
          <xdr:spPr>
            <a:xfrm>
              <a:off x="3245464" y="7986426"/>
              <a:ext cx="3212486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40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  <a14:m>
                <m:oMath xmlns:m="http://schemas.openxmlformats.org/officeDocument/2006/math"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𝑪𝑭</m:t>
                  </m:r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nary>
                    <m:naryPr>
                      <m:chr m:val="∑"/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naryPr>
                    <m:sub>
                      <m:r>
                        <m:rPr>
                          <m:brk m:alnAt="23"/>
                        </m:r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𝒊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=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𝟏</m:t>
                      </m:r>
                    </m:sub>
                    <m:sup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𝟏𝟐</m:t>
                      </m:r>
                    </m:sup>
                    <m:e>
                      <m:sSub>
                        <m:sSubPr>
                          <m:ctrlP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(</m:t>
                          </m:r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𝑪𝑷𝑨</m:t>
                          </m:r>
                        </m:e>
                        <m:sub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𝒊</m:t>
                          </m:r>
                        </m:sub>
                      </m:s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− </m:t>
                      </m:r>
                      <m:sSub>
                        <m:sSubPr>
                          <m:ctrlP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𝑽𝑷𝑨</m:t>
                          </m:r>
                        </m:e>
                        <m:sub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𝒊</m:t>
                          </m:r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</m:sub>
                      </m:s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) × </m:t>
                      </m:r>
                      <m:sSub>
                        <m:sSubPr>
                          <m:ctrlP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𝑰𝑷𝑪𝑨</m:t>
                          </m:r>
                        </m:e>
                        <m:sub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𝒊𝑫𝑹𝑷</m:t>
                          </m:r>
                        </m:sub>
                      </m:sSub>
                    </m:e>
                  </m:nary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</m:oMath>
              </a14:m>
              <a:endParaRPr lang="pt-BR" sz="1000" b="1" i="1">
                <a:solidFill>
                  <a:sysClr val="windowText" lastClr="000000"/>
                </a:solidFill>
                <a:effectLst/>
                <a:latin typeface="Cambria Math" panose="02040503050406030204" pitchFamily="18" charset="0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79" name="CaixaDeTexto 78">
              <a:extLst>
                <a:ext uri="{FF2B5EF4-FFF2-40B4-BE49-F238E27FC236}">
                  <a16:creationId xmlns:a16="http://schemas.microsoft.com/office/drawing/2014/main" id="{336D934F-FD61-451A-B150-5B269267605A}"/>
                </a:ext>
              </a:extLst>
            </xdr:cNvPr>
            <xdr:cNvSpPr txBox="1"/>
          </xdr:nvSpPr>
          <xdr:spPr>
            <a:xfrm>
              <a:off x="3245464" y="7986426"/>
              <a:ext cx="3212486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40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𝑪𝑭=∑_(𝒊=𝟏)^𝟏𝟐▒〖〖(𝑪𝑷𝑨〗_𝒊  − 〖𝑽𝑷𝑨〗_(𝒊 )) × 〖𝑰𝑷𝑪𝑨〗_𝒊𝑫𝑹𝑷 〗  </a:t>
              </a:r>
              <a:endParaRPr lang="pt-BR" sz="1000" b="1" i="1">
                <a:solidFill>
                  <a:sysClr val="windowText" lastClr="000000"/>
                </a:solidFill>
                <a:effectLst/>
                <a:latin typeface="Cambria Math" panose="02040503050406030204" pitchFamily="18" charset="0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5</xdr:col>
      <xdr:colOff>206620</xdr:colOff>
      <xdr:row>44</xdr:row>
      <xdr:rowOff>80676</xdr:rowOff>
    </xdr:from>
    <xdr:ext cx="5893464" cy="140522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1" name="CaixaDeTexto 80">
              <a:extLst>
                <a:ext uri="{FF2B5EF4-FFF2-40B4-BE49-F238E27FC236}">
                  <a16:creationId xmlns:a16="http://schemas.microsoft.com/office/drawing/2014/main" id="{1406ADBA-09B1-4287-8698-D609264FF229}"/>
                </a:ext>
              </a:extLst>
            </xdr:cNvPr>
            <xdr:cNvSpPr txBox="1"/>
          </xdr:nvSpPr>
          <xdr:spPr>
            <a:xfrm>
              <a:off x="3254620" y="8367426"/>
              <a:ext cx="5893464" cy="14052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𝑪𝑷𝑨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𝒊</m:t>
                      </m:r>
                    </m:sub>
                  </m:sSub>
                </m:oMath>
              </a14:m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: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pt-BR" sz="1000" b="0" i="1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custos da CONCESSIONÁRIA, em reais, referentes aos itens da Parcela A incorridos no mês (i) do Período de Referência;</a:t>
              </a:r>
            </a:p>
            <a:p>
              <a:endParaRPr lang="pt-BR" sz="1000" b="0" i="1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𝑽𝑷𝑨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𝒊</m:t>
                      </m:r>
                    </m:sub>
                  </m:sSub>
                </m:oMath>
              </a14:m>
              <a:r>
                <a:rPr lang="pt-BR" sz="1000" b="0" i="1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 valor, em reais, da receita da CONCESSIONÁRIA correspondente à Parcela A, no mês (i) do Período de Referência, ou seja, </a:t>
              </a:r>
              <a14:m>
                <m:oMath xmlns:m="http://schemas.openxmlformats.org/officeDocument/2006/math">
                  <m:sSub>
                    <m:sSubPr>
                      <m:ctrlPr>
                        <a:rPr lang="pt-BR" sz="1000" b="0" i="1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0" i="1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𝑉𝑃𝐴</m:t>
                      </m:r>
                    </m:e>
                    <m:sub>
                      <m:r>
                        <a:rPr lang="pt-BR" sz="1000" b="0" i="1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sub>
                  </m:sSub>
                  <m:r>
                    <a:rPr lang="pt-BR" sz="1000" b="0" i="1" baseline="0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 </m:t>
                  </m:r>
                  <m:sSub>
                    <m:sSubPr>
                      <m:ctrlPr>
                        <a:rPr lang="pt-BR" sz="1000" b="0" i="1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0" i="1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𝑇𝐴</m:t>
                      </m:r>
                    </m:e>
                    <m:sub>
                      <m:r>
                        <a:rPr lang="pt-BR" sz="1000" b="0" i="1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𝐷𝑅𝐴</m:t>
                      </m:r>
                    </m:sub>
                  </m:sSub>
                  <m:r>
                    <a:rPr lang="pt-BR" sz="1000" b="0" i="1" baseline="0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× </m:t>
                  </m:r>
                  <m:sSub>
                    <m:sSubPr>
                      <m:ctrlPr>
                        <a:rPr lang="pt-BR" sz="1000" b="0" i="1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</m:ctrlPr>
                    </m:sSubPr>
                    <m:e>
                      <m:r>
                        <a:rPr lang="pt-BR" sz="1000" b="0" i="1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𝑀𝑅</m:t>
                      </m:r>
                    </m:e>
                    <m:sub>
                      <m:r>
                        <a:rPr lang="pt-BR" sz="1000" b="0" i="1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𝑖</m:t>
                      </m:r>
                    </m:sub>
                  </m:sSub>
                  <m:r>
                    <a:rPr lang="pt-BR" sz="1000" b="0" i="1" baseline="0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;</m:t>
                  </m:r>
                </m:oMath>
              </a14:m>
              <a:endParaRPr lang="pt-BR" sz="1000" b="0" i="1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t-BR" sz="1000" b="0" i="1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𝑰𝑷𝑪𝑨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𝒊𝑫𝑹𝑷</m:t>
                      </m:r>
                    </m:sub>
                  </m:sSub>
                </m:oMath>
              </a14:m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 </a:t>
              </a:r>
              <a:r>
                <a:rPr lang="pt-BR" sz="1000" b="0" i="1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variação do Índice Nacional de Preços ao Consumidor Amplo - IPCA, do mês (i) até o mês de dezembro do Período de Referência.</a:t>
              </a:r>
              <a:endParaRPr lang="pt-BR" sz="1000">
                <a:solidFill>
                  <a:sysClr val="windowText" lastClr="000000"/>
                </a:solidFill>
                <a:effectLst/>
              </a:endParaRPr>
            </a:p>
            <a:p>
              <a:endParaRPr lang="pt-BR" sz="900" b="0" i="1" baseline="0">
                <a:solidFill>
                  <a:schemeClr val="accent1">
                    <a:lumMod val="75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81" name="CaixaDeTexto 80">
              <a:extLst>
                <a:ext uri="{FF2B5EF4-FFF2-40B4-BE49-F238E27FC236}">
                  <a16:creationId xmlns:a16="http://schemas.microsoft.com/office/drawing/2014/main" id="{1406ADBA-09B1-4287-8698-D609264FF229}"/>
                </a:ext>
              </a:extLst>
            </xdr:cNvPr>
            <xdr:cNvSpPr txBox="1"/>
          </xdr:nvSpPr>
          <xdr:spPr>
            <a:xfrm>
              <a:off x="3254620" y="8367426"/>
              <a:ext cx="5893464" cy="14052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〖𝑪𝑷𝑨〗_𝒊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: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pt-BR" sz="1000" b="0" i="1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custos da CONCESSIONÁRIA, em reais, referentes aos itens da Parcela A incorridos no mês (i) do Período de Referência;</a:t>
              </a:r>
            </a:p>
            <a:p>
              <a:endParaRPr lang="pt-BR" sz="1000" b="0" i="1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〖𝑽𝑷𝑨〗_𝒊</a:t>
              </a:r>
              <a:r>
                <a:rPr lang="pt-BR" sz="1000" b="0" i="1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 valor, em reais, da receita da CONCESSIONÁRIA correspondente à Parcela A, no mês (i) do Período de Referência, ou seja, </a:t>
              </a:r>
              <a:r>
                <a:rPr lang="pt-BR" sz="1000" b="0" i="0" baseline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〖𝑉𝑃𝐴〗_𝑖= 〖𝑇𝐴〗_𝐷𝑅𝐴</a:t>
              </a:r>
              <a:r>
                <a:rPr lang="pt-BR" sz="1000" b="0" i="0" baseline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× 〖𝑀𝑅〗_𝑖;</a:t>
              </a:r>
              <a:endParaRPr lang="pt-BR" sz="1000" b="0" i="1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t-BR" sz="1000" b="0" i="1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〖𝑰𝑷𝑪𝑨〗_𝒊𝑫𝑹𝑷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 </a:t>
              </a:r>
              <a:r>
                <a:rPr lang="pt-BR" sz="1000" b="0" i="1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variação do Índice Nacional de Preços ao Consumidor Amplo - IPCA, do mês (i) até o mês de dezembro do Período de Referência.</a:t>
              </a:r>
              <a:endParaRPr lang="pt-BR" sz="1000">
                <a:solidFill>
                  <a:sysClr val="windowText" lastClr="000000"/>
                </a:solidFill>
                <a:effectLst/>
              </a:endParaRPr>
            </a:p>
            <a:p>
              <a:endParaRPr lang="pt-BR" sz="900" b="0" i="1" baseline="0">
                <a:solidFill>
                  <a:schemeClr val="accent1">
                    <a:lumMod val="75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/>
  </xdr:oneCellAnchor>
  <xdr:twoCellAnchor editAs="oneCell">
    <xdr:from>
      <xdr:col>0</xdr:col>
      <xdr:colOff>438150</xdr:colOff>
      <xdr:row>3</xdr:row>
      <xdr:rowOff>76200</xdr:rowOff>
    </xdr:from>
    <xdr:to>
      <xdr:col>1</xdr:col>
      <xdr:colOff>114300</xdr:colOff>
      <xdr:row>4</xdr:row>
      <xdr:rowOff>171450</xdr:rowOff>
    </xdr:to>
    <xdr:pic>
      <xdr:nvPicPr>
        <xdr:cNvPr id="3" name="Gráfico 2" descr="Informações">
          <a:extLst>
            <a:ext uri="{FF2B5EF4-FFF2-40B4-BE49-F238E27FC236}">
              <a16:creationId xmlns:a16="http://schemas.microsoft.com/office/drawing/2014/main" id="{66AB6D2A-2C10-424D-BD04-EDFAAB77A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38150" y="495300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1</xdr:col>
      <xdr:colOff>590549</xdr:colOff>
      <xdr:row>3</xdr:row>
      <xdr:rowOff>66676</xdr:rowOff>
    </xdr:from>
    <xdr:to>
      <xdr:col>2</xdr:col>
      <xdr:colOff>304799</xdr:colOff>
      <xdr:row>4</xdr:row>
      <xdr:rowOff>200026</xdr:rowOff>
    </xdr:to>
    <xdr:pic>
      <xdr:nvPicPr>
        <xdr:cNvPr id="5" name="Gráfico 4" descr="Calendário diári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44192D9-F3A0-4BBF-BCBA-78E19A876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200149" y="485776"/>
          <a:ext cx="323850" cy="323850"/>
        </a:xfrm>
        <a:prstGeom prst="rect">
          <a:avLst/>
        </a:prstGeom>
      </xdr:spPr>
    </xdr:pic>
    <xdr:clientData/>
  </xdr:twoCellAnchor>
  <xdr:oneCellAnchor>
    <xdr:from>
      <xdr:col>5</xdr:col>
      <xdr:colOff>266700</xdr:colOff>
      <xdr:row>37</xdr:row>
      <xdr:rowOff>95250</xdr:rowOff>
    </xdr:from>
    <xdr:ext cx="5524500" cy="752475"/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BD9E1E47-5C96-4518-B291-CCF2DB993042}"/>
            </a:ext>
          </a:extLst>
        </xdr:cNvPr>
        <xdr:cNvSpPr txBox="1"/>
      </xdr:nvSpPr>
      <xdr:spPr>
        <a:xfrm>
          <a:off x="3314700" y="7048500"/>
          <a:ext cx="5524500" cy="752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pt-BR" sz="1000" b="0" i="1" baseline="0">
              <a:solidFill>
                <a:sysClr val="windowText" lastClr="000000"/>
              </a:solidFill>
              <a:latin typeface="+mn-lt"/>
            </a:rPr>
            <a:t>% P x </a:t>
          </a:r>
          <a:r>
            <a:rPr lang="el-GR" sz="1000" b="0" i="1" baseline="0">
              <a:solidFill>
                <a:sysClr val="windowText" lastClr="000000"/>
              </a:solidFill>
              <a:latin typeface="+mn-lt"/>
            </a:rPr>
            <a:t>Δ </a:t>
          </a:r>
          <a:r>
            <a:rPr lang="pt-BR" sz="1000" b="0" i="1" baseline="0">
              <a:solidFill>
                <a:sysClr val="windowText" lastClr="000000"/>
              </a:solidFill>
              <a:latin typeface="+mn-lt"/>
            </a:rPr>
            <a:t>INPC = Proporção dos custos de pessoal multiplicado pela variação do INPC</a:t>
          </a:r>
        </a:p>
        <a:p>
          <a:r>
            <a:rPr lang="pt-BR" sz="1000" b="0" i="1" baseline="0">
              <a:solidFill>
                <a:sysClr val="windowText" lastClr="000000"/>
              </a:solidFill>
              <a:latin typeface="+mn-lt"/>
            </a:rPr>
            <a:t>% EE x </a:t>
          </a:r>
          <a:r>
            <a:rPr lang="el-GR" sz="1000" b="0" i="1" baseline="0">
              <a:solidFill>
                <a:sysClr val="windowText" lastClr="000000"/>
              </a:solidFill>
              <a:latin typeface="+mn-lt"/>
            </a:rPr>
            <a:t>Δ </a:t>
          </a:r>
          <a:r>
            <a:rPr lang="pt-BR" sz="1000" b="0" i="1" baseline="0">
              <a:solidFill>
                <a:sysClr val="windowText" lastClr="000000"/>
              </a:solidFill>
              <a:latin typeface="+mn-lt"/>
            </a:rPr>
            <a:t>energia = Proporção dos custos energia elétrica multiplicado pela variação do índice de energia</a:t>
          </a:r>
        </a:p>
        <a:p>
          <a:r>
            <a:rPr lang="pt-BR" sz="1000" b="0" i="1">
              <a:solidFill>
                <a:sysClr val="windowText" lastClr="000000"/>
              </a:solidFill>
            </a:rPr>
            <a:t>% MT x </a:t>
          </a:r>
          <a:r>
            <a:rPr lang="el-GR" sz="1000" b="0" i="1">
              <a:solidFill>
                <a:sysClr val="windowText" lastClr="000000"/>
              </a:solidFill>
            </a:rPr>
            <a:t>Δ </a:t>
          </a:r>
          <a:r>
            <a:rPr lang="pt-BR" sz="1000" b="0" i="1">
              <a:solidFill>
                <a:sysClr val="windowText" lastClr="000000"/>
              </a:solidFill>
            </a:rPr>
            <a:t>IGP-M = Proporção dos custos de material de tratamento multiplicado pela variação do IGP-M</a:t>
          </a:r>
        </a:p>
        <a:p>
          <a:r>
            <a:rPr lang="pt-BR" sz="1000" b="0" i="1">
              <a:solidFill>
                <a:sysClr val="windowText" lastClr="000000"/>
              </a:solidFill>
            </a:rPr>
            <a:t>% RI x </a:t>
          </a:r>
          <a:r>
            <a:rPr lang="el-GR" sz="1000" b="0" i="1">
              <a:solidFill>
                <a:sysClr val="windowText" lastClr="000000"/>
              </a:solidFill>
            </a:rPr>
            <a:t>Δ </a:t>
          </a:r>
          <a:r>
            <a:rPr lang="pt-BR" sz="1000" b="0" i="1">
              <a:solidFill>
                <a:sysClr val="windowText" lastClr="000000"/>
              </a:solidFill>
            </a:rPr>
            <a:t>IGP-M = Proporção da remuneração dos investimentos multiplicado pela variação do IGP-M</a:t>
          </a:r>
        </a:p>
        <a:p>
          <a:r>
            <a:rPr lang="pt-BR" sz="1000" b="0" i="1">
              <a:solidFill>
                <a:sysClr val="windowText" lastClr="000000"/>
              </a:solidFill>
            </a:rPr>
            <a:t>% OC x </a:t>
          </a:r>
          <a:r>
            <a:rPr lang="el-GR" sz="1000" b="0" i="1">
              <a:solidFill>
                <a:sysClr val="windowText" lastClr="000000"/>
              </a:solidFill>
            </a:rPr>
            <a:t>Δ </a:t>
          </a:r>
          <a:r>
            <a:rPr lang="pt-BR" sz="1000" b="0" i="1">
              <a:solidFill>
                <a:sysClr val="windowText" lastClr="000000"/>
              </a:solidFill>
            </a:rPr>
            <a:t>IPCA = Proporção de outros custos multiplicado pela variação do IPCA</a:t>
          </a:r>
        </a:p>
      </xdr:txBody>
    </xdr:sp>
    <xdr:clientData/>
  </xdr:oneCellAnchor>
  <xdr:oneCellAnchor>
    <xdr:from>
      <xdr:col>5</xdr:col>
      <xdr:colOff>323849</xdr:colOff>
      <xdr:row>15</xdr:row>
      <xdr:rowOff>95251</xdr:rowOff>
    </xdr:from>
    <xdr:ext cx="5381626" cy="25908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" name="CaixaDeTexto 31">
              <a:extLst>
                <a:ext uri="{FF2B5EF4-FFF2-40B4-BE49-F238E27FC236}">
                  <a16:creationId xmlns:a16="http://schemas.microsoft.com/office/drawing/2014/main" id="{D14FAA3C-81E6-4044-969E-8908E3C4206A}"/>
                </a:ext>
              </a:extLst>
            </xdr:cNvPr>
            <xdr:cNvSpPr txBox="1"/>
          </xdr:nvSpPr>
          <xdr:spPr>
            <a:xfrm>
              <a:off x="3371849" y="2857501"/>
              <a:ext cx="5381626" cy="25908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00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𝑻𝑨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𝑫𝑹𝑷</m:t>
                      </m:r>
                    </m:sub>
                  </m:sSub>
                  <m:r>
                    <a:rPr lang="pt-BR" sz="10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</m:oMath>
              </a14:m>
              <a:r>
                <a:rPr lang="pt-BR" sz="1000" b="0" i="1">
                  <a:solidFill>
                    <a:sysClr val="windowText" lastClr="000000"/>
                  </a:solidFill>
                </a:rPr>
                <a:t>: 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da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Parcela A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na data do reajuste em processamento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atual</a:t>
              </a:r>
              <a:r>
                <a:rPr lang="pt-BR" sz="1000" b="1" i="1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pt-BR" sz="1000" b="0" i="1">
                <a:solidFill>
                  <a:sysClr val="windowText" lastClr="000000"/>
                </a:solidFill>
              </a:endParaRPr>
            </a:p>
            <a:p>
              <a:endParaRPr lang="pt-BR" sz="1000" b="0" i="1">
                <a:solidFill>
                  <a:sysClr val="windowText" lastClr="000000"/>
                </a:solidFill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𝑻𝑨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𝑫𝑹𝑨</m:t>
                      </m:r>
                    </m:sub>
                  </m:sSub>
                </m:oMath>
              </a14:m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da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Parcela A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na data do reajuste 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anterior</a:t>
              </a:r>
              <a:endParaRPr lang="pt-BR" sz="1000" i="1" u="none">
                <a:solidFill>
                  <a:sysClr val="windowText" lastClr="000000"/>
                </a:solidFill>
                <a:effectLst/>
              </a:endParaRPr>
            </a:p>
            <a:p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𝑻𝑨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𝑩𝑫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𝑫𝑹𝑷</m:t>
                      </m:r>
                    </m:sub>
                  </m:sSub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</m:oMath>
              </a14:m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Bônus-desconto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na data do reajuste em processamento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(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atual</a:t>
              </a:r>
              <a:r>
                <a:rPr lang="pt-BR" sz="1000" b="1" i="1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𝑻𝑨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𝑩𝑫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𝑫𝑹𝑨</m:t>
                      </m:r>
                    </m:sub>
                  </m:sSub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</m:oMath>
              </a14:m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da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Bônus-desconto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na data do reajuste 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anterior</a:t>
              </a:r>
              <a:endParaRPr lang="pt-BR" sz="1000" b="0" i="1" u="none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𝑻𝑩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𝑫𝑹𝑷</m:t>
                      </m:r>
                    </m:sub>
                  </m:sSub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</m:oMath>
              </a14:m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da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Parcela B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na data do reajuste em processamento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atual</a:t>
              </a:r>
              <a:r>
                <a:rPr lang="pt-BR" sz="1000" b="1" i="1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pt-BR" sz="1000" b="1" i="1">
                <a:solidFill>
                  <a:sysClr val="windowText" lastClr="000000"/>
                </a:solidFill>
                <a:effectLst/>
              </a:endParaRPr>
            </a:p>
            <a:p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𝑻𝑩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𝑫𝑹𝑨</m:t>
                      </m:r>
                    </m:sub>
                  </m:sSub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</m:oMath>
              </a14:m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da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Parcela B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na data do reajuste 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anterior</a:t>
              </a:r>
              <a:endParaRPr lang="pt-BR" sz="1000" i="1" u="none">
                <a:solidFill>
                  <a:sysClr val="windowText" lastClr="000000"/>
                </a:solidFill>
                <a:effectLst/>
              </a:endParaRPr>
            </a:p>
            <a:p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𝑻𝑭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𝑫𝑹𝑷</m:t>
                      </m:r>
                    </m:sub>
                  </m:sSub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</m:oMath>
              </a14:m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Componentes Financeiros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na data do reajuste em processamento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atual</a:t>
              </a:r>
              <a:r>
                <a:rPr lang="pt-BR" sz="1000" b="1" i="1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pt-BR" sz="1000" b="1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𝑻𝑩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𝑫𝑹𝑨</m:t>
                      </m:r>
                    </m:sub>
                  </m:sSub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</m:oMath>
              </a14:m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Componentes Financeiros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na data do reajuste 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anterior</a:t>
              </a:r>
              <a:endParaRPr lang="pt-BR" sz="1000" b="1" i="1" u="none">
                <a:solidFill>
                  <a:sysClr val="windowText" lastClr="000000"/>
                </a:solidFill>
                <a:effectLst/>
              </a:endParaRPr>
            </a:p>
          </xdr:txBody>
        </xdr:sp>
      </mc:Choice>
      <mc:Fallback xmlns="">
        <xdr:sp macro="" textlink="">
          <xdr:nvSpPr>
            <xdr:cNvPr id="32" name="CaixaDeTexto 31">
              <a:extLst>
                <a:ext uri="{FF2B5EF4-FFF2-40B4-BE49-F238E27FC236}">
                  <a16:creationId xmlns:a16="http://schemas.microsoft.com/office/drawing/2014/main" id="{D14FAA3C-81E6-4044-969E-8908E3C4206A}"/>
                </a:ext>
              </a:extLst>
            </xdr:cNvPr>
            <xdr:cNvSpPr txBox="1"/>
          </xdr:nvSpPr>
          <xdr:spPr>
            <a:xfrm>
              <a:off x="3371849" y="2857501"/>
              <a:ext cx="5381626" cy="25908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00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0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〖𝑻𝑨〗_𝑫𝑹𝑷  </a:t>
              </a:r>
              <a:r>
                <a:rPr lang="pt-BR" sz="1000" b="0" i="1">
                  <a:solidFill>
                    <a:sysClr val="windowText" lastClr="000000"/>
                  </a:solidFill>
                </a:rPr>
                <a:t>: 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da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Parcela A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na data do reajuste em processamento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atual</a:t>
              </a:r>
              <a:r>
                <a:rPr lang="pt-BR" sz="1000" b="1" i="1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pt-BR" sz="1000" b="0" i="1">
                <a:solidFill>
                  <a:sysClr val="windowText" lastClr="000000"/>
                </a:solidFill>
              </a:endParaRPr>
            </a:p>
            <a:p>
              <a:endParaRPr lang="pt-BR" sz="1000" b="0" i="1">
                <a:solidFill>
                  <a:sysClr val="windowText" lastClr="000000"/>
                </a:solidFill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〖𝑻𝑨〗_𝑫𝑹𝑨</a:t>
              </a:r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da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Parcela A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na data do reajuste 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anterior</a:t>
              </a:r>
              <a:endParaRPr lang="pt-BR" sz="1000" i="1" u="none">
                <a:solidFill>
                  <a:sysClr val="windowText" lastClr="000000"/>
                </a:solidFill>
                <a:effectLst/>
              </a:endParaRPr>
            </a:p>
            <a:p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〖𝑻𝑨−𝑩𝑫〗_𝑫𝑹𝑷  </a:t>
              </a:r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Bônus-desconto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na data do reajuste em processamento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(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atual</a:t>
              </a:r>
              <a:r>
                <a:rPr lang="pt-BR" sz="1000" b="1" i="1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〖𝑻𝑨−𝑩𝑫〗_𝑫𝑹𝑨  </a:t>
              </a:r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da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Bônus-desconto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na data do reajuste 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anterior</a:t>
              </a:r>
              <a:endParaRPr lang="pt-BR" sz="1000" b="0" i="1" u="none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〖𝑻𝑩〗_𝑫𝑹𝑷  </a:t>
              </a:r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da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Parcela B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na data do reajuste em processamento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atual</a:t>
              </a:r>
              <a:r>
                <a:rPr lang="pt-BR" sz="1000" b="1" i="1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pt-BR" sz="1000" b="1" i="1">
                <a:solidFill>
                  <a:sysClr val="windowText" lastClr="000000"/>
                </a:solidFill>
                <a:effectLst/>
              </a:endParaRPr>
            </a:p>
            <a:p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〖𝑻𝑩〗_𝑫𝑹𝑨  </a:t>
              </a:r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da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Parcela B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na data do reajuste 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anterior</a:t>
              </a:r>
              <a:endParaRPr lang="pt-BR" sz="1000" i="1" u="none">
                <a:solidFill>
                  <a:sysClr val="windowText" lastClr="000000"/>
                </a:solidFill>
                <a:effectLst/>
              </a:endParaRPr>
            </a:p>
            <a:p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〖𝑻𝑭〗_𝑫𝑹𝑷  </a:t>
              </a:r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Componentes Financeiros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na data do reajuste em processamento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atual</a:t>
              </a:r>
              <a:r>
                <a:rPr lang="pt-BR" sz="1000" b="1" i="1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pt-BR" sz="1000" b="1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〖𝑻𝑩〗_𝑫𝑹𝑨  </a:t>
              </a:r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Componentes Financeiros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na data do reajuste 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anterior</a:t>
              </a:r>
              <a:endParaRPr lang="pt-BR" sz="1000" b="1" i="1" u="none">
                <a:solidFill>
                  <a:sysClr val="windowText" lastClr="000000"/>
                </a:solidFill>
                <a:effectLst/>
              </a:endParaRPr>
            </a:p>
          </xdr:txBody>
        </xdr:sp>
      </mc:Fallback>
    </mc:AlternateContent>
    <xdr:clientData/>
  </xdr:oneCellAnchor>
  <xdr:twoCellAnchor>
    <xdr:from>
      <xdr:col>0</xdr:col>
      <xdr:colOff>0</xdr:colOff>
      <xdr:row>1</xdr:row>
      <xdr:rowOff>0</xdr:rowOff>
    </xdr:from>
    <xdr:to>
      <xdr:col>28</xdr:col>
      <xdr:colOff>0</xdr:colOff>
      <xdr:row>2</xdr:row>
      <xdr:rowOff>107337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id="{BD0E60C8-9922-4696-F3F5-AE4FB27C8BE8}"/>
            </a:ext>
          </a:extLst>
        </xdr:cNvPr>
        <xdr:cNvGrpSpPr/>
      </xdr:nvGrpSpPr>
      <xdr:grpSpPr>
        <a:xfrm>
          <a:off x="0" y="38100"/>
          <a:ext cx="17306925" cy="297837"/>
          <a:chOff x="0" y="38100"/>
          <a:chExt cx="17306925" cy="297837"/>
        </a:xfrm>
      </xdr:grpSpPr>
      <xdr:sp macro="" textlink="">
        <xdr:nvSpPr>
          <xdr:cNvPr id="115" name="Retângulo: Cantos Superiores Arredondados 114">
            <a:extLst>
              <a:ext uri="{FF2B5EF4-FFF2-40B4-BE49-F238E27FC236}">
                <a16:creationId xmlns:a16="http://schemas.microsoft.com/office/drawing/2014/main" id="{7C84B692-A6E9-4B09-8819-AF8A384CCB86}"/>
              </a:ext>
            </a:extLst>
          </xdr:cNvPr>
          <xdr:cNvSpPr>
            <a:spLocks/>
          </xdr:cNvSpPr>
        </xdr:nvSpPr>
        <xdr:spPr>
          <a:xfrm>
            <a:off x="0" y="38100"/>
            <a:ext cx="1804959" cy="288000"/>
          </a:xfrm>
          <a:prstGeom prst="round2SameRect">
            <a:avLst/>
          </a:prstGeom>
          <a:solidFill>
            <a:schemeClr val="accent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APRESENTAÇÃO</a:t>
            </a:r>
            <a:endParaRPr lang="pt-BR" sz="1100">
              <a:solidFill>
                <a:schemeClr val="bg1"/>
              </a:solidFill>
            </a:endParaRPr>
          </a:p>
        </xdr:txBody>
      </xdr:sp>
      <xdr:sp macro="" textlink="">
        <xdr:nvSpPr>
          <xdr:cNvPr id="116" name="Retângulo: Cantos Superiores Arredondados 115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8652E0DA-1FCC-406D-A6E1-7B8573F39F5E}"/>
              </a:ext>
            </a:extLst>
          </xdr:cNvPr>
          <xdr:cNvSpPr>
            <a:spLocks/>
          </xdr:cNvSpPr>
        </xdr:nvSpPr>
        <xdr:spPr>
          <a:xfrm>
            <a:off x="1800929" y="47625"/>
            <a:ext cx="1799127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INFLAÇÃO</a:t>
            </a:r>
          </a:p>
        </xdr:txBody>
      </xdr:sp>
      <xdr:sp macro="" textlink="">
        <xdr:nvSpPr>
          <xdr:cNvPr id="117" name="Retângulo: Cantos Superiores Arredondados 116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D4CCE12B-515F-4BC1-B3C4-0254735E9002}"/>
              </a:ext>
            </a:extLst>
          </xdr:cNvPr>
          <xdr:cNvSpPr>
            <a:spLocks/>
          </xdr:cNvSpPr>
        </xdr:nvSpPr>
        <xdr:spPr>
          <a:xfrm>
            <a:off x="14281722" y="48994"/>
            <a:ext cx="1799127" cy="285749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RTA 2025</a:t>
            </a:r>
            <a:endParaRPr lang="pt-BR">
              <a:effectLst/>
            </a:endParaRPr>
          </a:p>
        </xdr:txBody>
      </xdr:sp>
      <xdr:sp macro="" textlink="">
        <xdr:nvSpPr>
          <xdr:cNvPr id="118" name="Retângulo: Cantos Superiores Arredondados 117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69DBE55-3277-45FE-80B8-6ACBA2639365}"/>
              </a:ext>
            </a:extLst>
          </xdr:cNvPr>
          <xdr:cNvSpPr>
            <a:spLocks/>
          </xdr:cNvSpPr>
        </xdr:nvSpPr>
        <xdr:spPr>
          <a:xfrm>
            <a:off x="10786750" y="46494"/>
            <a:ext cx="1951605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COMPONENTE FINANCEIRO - CF</a:t>
            </a:r>
          </a:p>
        </xdr:txBody>
      </xdr:sp>
      <xdr:sp macro="" textlink="">
        <xdr:nvSpPr>
          <xdr:cNvPr id="119" name="Retângulo: Cantos Superiores Arredondados 118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D0D4A5B0-A6D9-40B8-B69F-85E157A38E88}"/>
              </a:ext>
            </a:extLst>
          </xdr:cNvPr>
          <xdr:cNvSpPr>
            <a:spLocks/>
          </xdr:cNvSpPr>
        </xdr:nvSpPr>
        <xdr:spPr>
          <a:xfrm>
            <a:off x="3596802" y="47625"/>
            <a:ext cx="180472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BÔNUS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DESCONTO</a:t>
            </a:r>
            <a:endParaRPr lang="pt-BR">
              <a:effectLst/>
            </a:endParaRPr>
          </a:p>
        </xdr:txBody>
      </xdr:sp>
      <xdr:sp macro="" textlink="">
        <xdr:nvSpPr>
          <xdr:cNvPr id="121" name="Retângulo: Cantos Superiores Arredondados 120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1A69365D-9C25-42D0-8EFA-474D4AE95D24}"/>
              </a:ext>
            </a:extLst>
          </xdr:cNvPr>
          <xdr:cNvSpPr>
            <a:spLocks/>
          </xdr:cNvSpPr>
        </xdr:nvSpPr>
        <xdr:spPr>
          <a:xfrm>
            <a:off x="8975099" y="47625"/>
            <a:ext cx="1829118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VPB</a:t>
            </a:r>
            <a:endParaRPr lang="pt-BR" sz="1100">
              <a:effectLst/>
            </a:endParaRPr>
          </a:p>
        </xdr:txBody>
      </xdr:sp>
      <xdr:sp macro="" textlink="">
        <xdr:nvSpPr>
          <xdr:cNvPr id="122" name="Retângulo: Cantos Superiores Arredondados 121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579E331A-7C4E-4D5C-82AB-2AED49337D71}"/>
              </a:ext>
            </a:extLst>
          </xdr:cNvPr>
          <xdr:cNvSpPr>
            <a:spLocks/>
          </xdr:cNvSpPr>
        </xdr:nvSpPr>
        <xdr:spPr>
          <a:xfrm>
            <a:off x="7184140" y="47625"/>
            <a:ext cx="1820319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VPA</a:t>
            </a:r>
          </a:p>
        </xdr:txBody>
      </xdr:sp>
      <xdr:sp macro="" textlink="">
        <xdr:nvSpPr>
          <xdr:cNvPr id="123" name="Retângulo: Cantos Superiores Arredondados 122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4869C1A0-558B-447B-9996-CC65C2068141}"/>
              </a:ext>
            </a:extLst>
          </xdr:cNvPr>
          <xdr:cNvSpPr>
            <a:spLocks/>
          </xdr:cNvSpPr>
        </xdr:nvSpPr>
        <xdr:spPr>
          <a:xfrm>
            <a:off x="5394829" y="47625"/>
            <a:ext cx="1799127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VOLUMES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- 2024</a:t>
            </a:r>
            <a:endParaRPr lang="pt-BR">
              <a:effectLst/>
            </a:endParaRPr>
          </a:p>
        </xdr:txBody>
      </xdr:sp>
      <xdr:sp macro="" textlink="">
        <xdr:nvSpPr>
          <xdr:cNvPr id="114" name="Retângulo: Cantos Superiores Arredondados 113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2914545B-4CD8-4ACE-8CB6-47D0E09BA97A}"/>
              </a:ext>
            </a:extLst>
          </xdr:cNvPr>
          <xdr:cNvSpPr>
            <a:spLocks/>
          </xdr:cNvSpPr>
        </xdr:nvSpPr>
        <xdr:spPr>
          <a:xfrm>
            <a:off x="16074547" y="47937"/>
            <a:ext cx="1232378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2025</a:t>
            </a:r>
            <a:endParaRPr lang="pt-BR">
              <a:effectLst/>
            </a:endParaRPr>
          </a:p>
        </xdr:txBody>
      </xdr:sp>
      <xdr:sp macro="" textlink="">
        <xdr:nvSpPr>
          <xdr:cNvPr id="6" name="Retângulo: Cantos Superiores Arredondados 5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A6EF45AF-10CD-4589-8BD2-3D6F021D370A}"/>
              </a:ext>
            </a:extLst>
          </xdr:cNvPr>
          <xdr:cNvSpPr>
            <a:spLocks/>
          </xdr:cNvSpPr>
        </xdr:nvSpPr>
        <xdr:spPr>
          <a:xfrm>
            <a:off x="12736994" y="47841"/>
            <a:ext cx="154964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OUTROS</a:t>
            </a:r>
            <a:r>
              <a:rPr lang="pt-BR" sz="10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CF</a:t>
            </a:r>
            <a:endParaRPr lang="pt-BR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8424</xdr:rowOff>
    </xdr:from>
    <xdr:to>
      <xdr:col>17</xdr:col>
      <xdr:colOff>0</xdr:colOff>
      <xdr:row>2</xdr:row>
      <xdr:rowOff>108395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309913C2-13FC-4409-96CD-0194937FA11C}"/>
            </a:ext>
          </a:extLst>
        </xdr:cNvPr>
        <xdr:cNvGrpSpPr/>
      </xdr:nvGrpSpPr>
      <xdr:grpSpPr>
        <a:xfrm>
          <a:off x="0" y="50757"/>
          <a:ext cx="18594917" cy="290471"/>
          <a:chOff x="0" y="46494"/>
          <a:chExt cx="17306925" cy="289443"/>
        </a:xfrm>
        <a:solidFill>
          <a:schemeClr val="accent1">
            <a:lumMod val="40000"/>
            <a:lumOff val="60000"/>
          </a:schemeClr>
        </a:solidFill>
      </xdr:grpSpPr>
      <xdr:sp macro="" textlink="">
        <xdr:nvSpPr>
          <xdr:cNvPr id="3" name="Retângulo: Cantos Superiores Arredondados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B8CBBFD0-C2A7-81A2-44CB-F906AD7439CB}"/>
              </a:ext>
            </a:extLst>
          </xdr:cNvPr>
          <xdr:cNvSpPr>
            <a:spLocks/>
          </xdr:cNvSpPr>
        </xdr:nvSpPr>
        <xdr:spPr>
          <a:xfrm>
            <a:off x="0" y="47591"/>
            <a:ext cx="1804959" cy="284739"/>
          </a:xfrm>
          <a:prstGeom prst="round2Same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APRESENTAÇÃO</a:t>
            </a:r>
            <a:endParaRPr lang="pt-BR" sz="1100">
              <a:solidFill>
                <a:schemeClr val="bg1"/>
              </a:solidFill>
            </a:endParaRPr>
          </a:p>
        </xdr:txBody>
      </xdr:sp>
      <xdr:sp macro="" textlink="">
        <xdr:nvSpPr>
          <xdr:cNvPr id="4" name="Retângulo: Cantos Superiores Arredondados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7B873114-6B54-A55B-4314-6033EDE70FAC}"/>
              </a:ext>
            </a:extLst>
          </xdr:cNvPr>
          <xdr:cNvSpPr>
            <a:spLocks/>
          </xdr:cNvSpPr>
        </xdr:nvSpPr>
        <xdr:spPr>
          <a:xfrm>
            <a:off x="1800929" y="47625"/>
            <a:ext cx="1799127" cy="288000"/>
          </a:xfrm>
          <a:prstGeom prst="round2Same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INFLAÇÃO</a:t>
            </a:r>
          </a:p>
        </xdr:txBody>
      </xdr:sp>
      <xdr:sp macro="" textlink="">
        <xdr:nvSpPr>
          <xdr:cNvPr id="5" name="Retângulo: Cantos Superiores Arredondados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5C2DB135-B97D-E0F0-F8C7-655FBDAB3BEE}"/>
              </a:ext>
            </a:extLst>
          </xdr:cNvPr>
          <xdr:cNvSpPr>
            <a:spLocks/>
          </xdr:cNvSpPr>
        </xdr:nvSpPr>
        <xdr:spPr>
          <a:xfrm>
            <a:off x="14281722" y="48994"/>
            <a:ext cx="1799127" cy="285749"/>
          </a:xfrm>
          <a:prstGeom prst="round2Same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RTA 2025</a:t>
            </a:r>
            <a:endParaRPr lang="pt-BR">
              <a:effectLst/>
            </a:endParaRPr>
          </a:p>
        </xdr:txBody>
      </xdr:sp>
      <xdr:sp macro="" textlink="">
        <xdr:nvSpPr>
          <xdr:cNvPr id="6" name="Retângulo: Cantos Superiores Arredondados 5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4A93EF26-E678-7FDC-43DF-CA53228B11FC}"/>
              </a:ext>
            </a:extLst>
          </xdr:cNvPr>
          <xdr:cNvSpPr>
            <a:spLocks/>
          </xdr:cNvSpPr>
        </xdr:nvSpPr>
        <xdr:spPr>
          <a:xfrm>
            <a:off x="10786750" y="46494"/>
            <a:ext cx="1951605" cy="288000"/>
          </a:xfrm>
          <a:prstGeom prst="round2Same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COMPONENTE FINANCEIRO - CF</a:t>
            </a:r>
          </a:p>
        </xdr:txBody>
      </xdr:sp>
      <xdr:sp macro="" textlink="">
        <xdr:nvSpPr>
          <xdr:cNvPr id="7" name="Retângulo: Cantos Superiores Arredondados 6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BCD7E329-C500-5B3A-45B0-D0E27954F146}"/>
              </a:ext>
            </a:extLst>
          </xdr:cNvPr>
          <xdr:cNvSpPr>
            <a:spLocks/>
          </xdr:cNvSpPr>
        </xdr:nvSpPr>
        <xdr:spPr>
          <a:xfrm>
            <a:off x="3596802" y="47625"/>
            <a:ext cx="1804722" cy="288000"/>
          </a:xfrm>
          <a:prstGeom prst="round2Same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BÔNUS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DESCONTO</a:t>
            </a:r>
            <a:endParaRPr lang="pt-BR">
              <a:effectLst/>
            </a:endParaRPr>
          </a:p>
        </xdr:txBody>
      </xdr:sp>
      <xdr:sp macro="" textlink="">
        <xdr:nvSpPr>
          <xdr:cNvPr id="8" name="Retângulo: Cantos Superiores Arredondados 7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60A05ACA-A861-9C01-7D6D-D0C86C897A10}"/>
              </a:ext>
            </a:extLst>
          </xdr:cNvPr>
          <xdr:cNvSpPr>
            <a:spLocks/>
          </xdr:cNvSpPr>
        </xdr:nvSpPr>
        <xdr:spPr>
          <a:xfrm>
            <a:off x="8975099" y="47625"/>
            <a:ext cx="1829118" cy="288000"/>
          </a:xfrm>
          <a:prstGeom prst="round2Same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VPB</a:t>
            </a:r>
            <a:endParaRPr lang="pt-BR" sz="1100">
              <a:effectLst/>
            </a:endParaRPr>
          </a:p>
        </xdr:txBody>
      </xdr:sp>
      <xdr:sp macro="" textlink="">
        <xdr:nvSpPr>
          <xdr:cNvPr id="9" name="Retângulo: Cantos Superiores Arredondados 8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4740B235-911B-AF80-806A-BDC141390F8D}"/>
              </a:ext>
            </a:extLst>
          </xdr:cNvPr>
          <xdr:cNvSpPr>
            <a:spLocks/>
          </xdr:cNvSpPr>
        </xdr:nvSpPr>
        <xdr:spPr>
          <a:xfrm>
            <a:off x="7184140" y="47625"/>
            <a:ext cx="1820319" cy="288000"/>
          </a:xfrm>
          <a:prstGeom prst="round2Same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VPA</a:t>
            </a:r>
          </a:p>
        </xdr:txBody>
      </xdr:sp>
      <xdr:sp macro="" textlink="">
        <xdr:nvSpPr>
          <xdr:cNvPr id="10" name="Retângulo: Cantos Superiores Arredondados 9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F3C56059-1EC5-127C-5EDC-7AA19B4EB84F}"/>
              </a:ext>
            </a:extLst>
          </xdr:cNvPr>
          <xdr:cNvSpPr>
            <a:spLocks/>
          </xdr:cNvSpPr>
        </xdr:nvSpPr>
        <xdr:spPr>
          <a:xfrm>
            <a:off x="5394829" y="47625"/>
            <a:ext cx="1799127" cy="288000"/>
          </a:xfrm>
          <a:prstGeom prst="round2Same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VOLUMES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- 2024</a:t>
            </a:r>
            <a:endParaRPr lang="pt-BR">
              <a:effectLst/>
            </a:endParaRPr>
          </a:p>
        </xdr:txBody>
      </xdr:sp>
      <xdr:sp macro="" textlink="">
        <xdr:nvSpPr>
          <xdr:cNvPr id="11" name="Retângulo: Cantos Superiores Arredondados 10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66B0EA13-78A2-0399-0865-DD534154272C}"/>
              </a:ext>
            </a:extLst>
          </xdr:cNvPr>
          <xdr:cNvSpPr>
            <a:spLocks/>
          </xdr:cNvSpPr>
        </xdr:nvSpPr>
        <xdr:spPr>
          <a:xfrm>
            <a:off x="16074547" y="47937"/>
            <a:ext cx="1232378" cy="288000"/>
          </a:xfrm>
          <a:prstGeom prst="round2Same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2025</a:t>
            </a:r>
            <a:endParaRPr lang="pt-BR">
              <a:effectLst/>
            </a:endParaRPr>
          </a:p>
        </xdr:txBody>
      </xdr:sp>
      <xdr:sp macro="" textlink="">
        <xdr:nvSpPr>
          <xdr:cNvPr id="12" name="Retângulo: Cantos Superiores Arredondados 11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4E6B788E-4164-7206-711F-4F4C7D878145}"/>
              </a:ext>
            </a:extLst>
          </xdr:cNvPr>
          <xdr:cNvSpPr>
            <a:spLocks/>
          </xdr:cNvSpPr>
        </xdr:nvSpPr>
        <xdr:spPr>
          <a:xfrm>
            <a:off x="12736994" y="47841"/>
            <a:ext cx="1549640" cy="288000"/>
          </a:xfrm>
          <a:prstGeom prst="round2Same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OUTROS</a:t>
            </a:r>
            <a:r>
              <a:rPr lang="pt-BR" sz="10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CF</a:t>
            </a:r>
            <a:endParaRPr lang="pt-BR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8424</xdr:rowOff>
    </xdr:from>
    <xdr:to>
      <xdr:col>18</xdr:col>
      <xdr:colOff>0</xdr:colOff>
      <xdr:row>2</xdr:row>
      <xdr:rowOff>108395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C858DE56-0002-4421-808E-934844B817F6}"/>
            </a:ext>
          </a:extLst>
        </xdr:cNvPr>
        <xdr:cNvGrpSpPr/>
      </xdr:nvGrpSpPr>
      <xdr:grpSpPr>
        <a:xfrm>
          <a:off x="0" y="50757"/>
          <a:ext cx="19505083" cy="290471"/>
          <a:chOff x="0" y="46494"/>
          <a:chExt cx="17306925" cy="289443"/>
        </a:xfrm>
        <a:solidFill>
          <a:schemeClr val="accent1">
            <a:lumMod val="40000"/>
            <a:lumOff val="60000"/>
          </a:schemeClr>
        </a:solidFill>
      </xdr:grpSpPr>
      <xdr:sp macro="" textlink="">
        <xdr:nvSpPr>
          <xdr:cNvPr id="3" name="Retângulo: Cantos Superiores Arredondados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8FB23905-92D5-7F06-2C43-94ED0BA3E38E}"/>
              </a:ext>
            </a:extLst>
          </xdr:cNvPr>
          <xdr:cNvSpPr>
            <a:spLocks/>
          </xdr:cNvSpPr>
        </xdr:nvSpPr>
        <xdr:spPr>
          <a:xfrm>
            <a:off x="0" y="47591"/>
            <a:ext cx="1804959" cy="284739"/>
          </a:xfrm>
          <a:prstGeom prst="round2Same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APRESENTAÇÃO</a:t>
            </a:r>
            <a:endParaRPr lang="pt-BR" sz="1100">
              <a:solidFill>
                <a:schemeClr val="bg1"/>
              </a:solidFill>
            </a:endParaRPr>
          </a:p>
        </xdr:txBody>
      </xdr:sp>
      <xdr:sp macro="" textlink="">
        <xdr:nvSpPr>
          <xdr:cNvPr id="4" name="Retângulo: Cantos Superiores Arredondados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1C01BFD9-907A-B08D-261F-4D4E6D889933}"/>
              </a:ext>
            </a:extLst>
          </xdr:cNvPr>
          <xdr:cNvSpPr>
            <a:spLocks/>
          </xdr:cNvSpPr>
        </xdr:nvSpPr>
        <xdr:spPr>
          <a:xfrm>
            <a:off x="1800929" y="47625"/>
            <a:ext cx="1799127" cy="288000"/>
          </a:xfrm>
          <a:prstGeom prst="round2Same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INFLAÇÃO</a:t>
            </a:r>
          </a:p>
        </xdr:txBody>
      </xdr:sp>
      <xdr:sp macro="" textlink="">
        <xdr:nvSpPr>
          <xdr:cNvPr id="5" name="Retângulo: Cantos Superiores Arredondados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888D7EC8-3765-F5FD-8978-A03FA1474AC9}"/>
              </a:ext>
            </a:extLst>
          </xdr:cNvPr>
          <xdr:cNvSpPr>
            <a:spLocks/>
          </xdr:cNvSpPr>
        </xdr:nvSpPr>
        <xdr:spPr>
          <a:xfrm>
            <a:off x="14281722" y="48994"/>
            <a:ext cx="1799127" cy="285749"/>
          </a:xfrm>
          <a:prstGeom prst="round2Same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RTA 2025</a:t>
            </a:r>
            <a:endParaRPr lang="pt-BR">
              <a:effectLst/>
            </a:endParaRPr>
          </a:p>
        </xdr:txBody>
      </xdr:sp>
      <xdr:sp macro="" textlink="">
        <xdr:nvSpPr>
          <xdr:cNvPr id="6" name="Retângulo: Cantos Superiores Arredondados 5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A5DCC2BC-A011-E096-AA8B-50BA13C021E3}"/>
              </a:ext>
            </a:extLst>
          </xdr:cNvPr>
          <xdr:cNvSpPr>
            <a:spLocks/>
          </xdr:cNvSpPr>
        </xdr:nvSpPr>
        <xdr:spPr>
          <a:xfrm>
            <a:off x="10786750" y="46494"/>
            <a:ext cx="1951605" cy="288000"/>
          </a:xfrm>
          <a:prstGeom prst="round2Same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COMPONENTE FINANCEIRO - CF</a:t>
            </a:r>
          </a:p>
        </xdr:txBody>
      </xdr:sp>
      <xdr:sp macro="" textlink="">
        <xdr:nvSpPr>
          <xdr:cNvPr id="7" name="Retângulo: Cantos Superiores Arredondados 6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45095C5E-E1DD-658E-782D-D679F59253E6}"/>
              </a:ext>
            </a:extLst>
          </xdr:cNvPr>
          <xdr:cNvSpPr>
            <a:spLocks/>
          </xdr:cNvSpPr>
        </xdr:nvSpPr>
        <xdr:spPr>
          <a:xfrm>
            <a:off x="3596802" y="47625"/>
            <a:ext cx="1804722" cy="288000"/>
          </a:xfrm>
          <a:prstGeom prst="round2Same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BÔNUS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DESCONTO</a:t>
            </a:r>
            <a:endParaRPr lang="pt-BR">
              <a:effectLst/>
            </a:endParaRPr>
          </a:p>
        </xdr:txBody>
      </xdr:sp>
      <xdr:sp macro="" textlink="">
        <xdr:nvSpPr>
          <xdr:cNvPr id="8" name="Retângulo: Cantos Superiores Arredondados 7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1A75619C-4C9B-E212-15A3-E22B249364BD}"/>
              </a:ext>
            </a:extLst>
          </xdr:cNvPr>
          <xdr:cNvSpPr>
            <a:spLocks/>
          </xdr:cNvSpPr>
        </xdr:nvSpPr>
        <xdr:spPr>
          <a:xfrm>
            <a:off x="8975099" y="47625"/>
            <a:ext cx="1829118" cy="288000"/>
          </a:xfrm>
          <a:prstGeom prst="round2Same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VPB</a:t>
            </a:r>
            <a:endParaRPr lang="pt-BR" sz="1100">
              <a:effectLst/>
            </a:endParaRPr>
          </a:p>
        </xdr:txBody>
      </xdr:sp>
      <xdr:sp macro="" textlink="">
        <xdr:nvSpPr>
          <xdr:cNvPr id="9" name="Retângulo: Cantos Superiores Arredondados 8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FF3DE5B0-AE13-B8FC-898F-67F64662179B}"/>
              </a:ext>
            </a:extLst>
          </xdr:cNvPr>
          <xdr:cNvSpPr>
            <a:spLocks/>
          </xdr:cNvSpPr>
        </xdr:nvSpPr>
        <xdr:spPr>
          <a:xfrm>
            <a:off x="7184140" y="47625"/>
            <a:ext cx="1820319" cy="288000"/>
          </a:xfrm>
          <a:prstGeom prst="round2Same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VPA</a:t>
            </a:r>
          </a:p>
        </xdr:txBody>
      </xdr:sp>
      <xdr:sp macro="" textlink="">
        <xdr:nvSpPr>
          <xdr:cNvPr id="10" name="Retângulo: Cantos Superiores Arredondados 9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AE9300EA-D697-9374-F4AD-42BB9A7BAF4D}"/>
              </a:ext>
            </a:extLst>
          </xdr:cNvPr>
          <xdr:cNvSpPr>
            <a:spLocks/>
          </xdr:cNvSpPr>
        </xdr:nvSpPr>
        <xdr:spPr>
          <a:xfrm>
            <a:off x="5394829" y="47625"/>
            <a:ext cx="1799127" cy="288000"/>
          </a:xfrm>
          <a:prstGeom prst="round2Same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VOLUMES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- 2024</a:t>
            </a:r>
            <a:endParaRPr lang="pt-BR">
              <a:effectLst/>
            </a:endParaRPr>
          </a:p>
        </xdr:txBody>
      </xdr:sp>
      <xdr:sp macro="" textlink="">
        <xdr:nvSpPr>
          <xdr:cNvPr id="11" name="Retângulo: Cantos Superiores Arredondados 10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62E8B52A-B587-A865-4799-A94A7CE281CA}"/>
              </a:ext>
            </a:extLst>
          </xdr:cNvPr>
          <xdr:cNvSpPr>
            <a:spLocks/>
          </xdr:cNvSpPr>
        </xdr:nvSpPr>
        <xdr:spPr>
          <a:xfrm>
            <a:off x="16074547" y="47937"/>
            <a:ext cx="1232378" cy="288000"/>
          </a:xfrm>
          <a:prstGeom prst="round2Same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2025</a:t>
            </a:r>
            <a:endParaRPr lang="pt-BR">
              <a:effectLst/>
            </a:endParaRPr>
          </a:p>
        </xdr:txBody>
      </xdr:sp>
      <xdr:sp macro="" textlink="">
        <xdr:nvSpPr>
          <xdr:cNvPr id="12" name="Retângulo: Cantos Superiores Arredondados 11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156F1D49-D410-D8F0-CC8B-2F84053A1444}"/>
              </a:ext>
            </a:extLst>
          </xdr:cNvPr>
          <xdr:cNvSpPr>
            <a:spLocks/>
          </xdr:cNvSpPr>
        </xdr:nvSpPr>
        <xdr:spPr>
          <a:xfrm>
            <a:off x="12736994" y="47841"/>
            <a:ext cx="1549640" cy="288000"/>
          </a:xfrm>
          <a:prstGeom prst="round2Same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OUTROS</a:t>
            </a:r>
            <a:r>
              <a:rPr lang="pt-BR" sz="10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CF</a:t>
            </a:r>
            <a:endParaRPr lang="pt-BR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8424</xdr:rowOff>
    </xdr:from>
    <xdr:to>
      <xdr:col>15</xdr:col>
      <xdr:colOff>0</xdr:colOff>
      <xdr:row>2</xdr:row>
      <xdr:rowOff>118978</xdr:rowOff>
    </xdr:to>
    <xdr:grpSp>
      <xdr:nvGrpSpPr>
        <xdr:cNvPr id="23" name="Agrupar 22">
          <a:extLst>
            <a:ext uri="{FF2B5EF4-FFF2-40B4-BE49-F238E27FC236}">
              <a16:creationId xmlns:a16="http://schemas.microsoft.com/office/drawing/2014/main" id="{56958BD6-28F4-4C49-997F-719EF3117474}"/>
            </a:ext>
          </a:extLst>
        </xdr:cNvPr>
        <xdr:cNvGrpSpPr/>
      </xdr:nvGrpSpPr>
      <xdr:grpSpPr>
        <a:xfrm>
          <a:off x="0" y="50757"/>
          <a:ext cx="17928167" cy="290471"/>
          <a:chOff x="0" y="46494"/>
          <a:chExt cx="17306925" cy="289443"/>
        </a:xfrm>
      </xdr:grpSpPr>
      <xdr:sp macro="" textlink="">
        <xdr:nvSpPr>
          <xdr:cNvPr id="24" name="Retângulo: Cantos Superiores Arredondados 23">
            <a:extLst>
              <a:ext uri="{FF2B5EF4-FFF2-40B4-BE49-F238E27FC236}">
                <a16:creationId xmlns:a16="http://schemas.microsoft.com/office/drawing/2014/main" id="{59881ABA-C7B0-7B28-BCD4-BC0D4EF1756C}"/>
              </a:ext>
            </a:extLst>
          </xdr:cNvPr>
          <xdr:cNvSpPr>
            <a:spLocks/>
          </xdr:cNvSpPr>
        </xdr:nvSpPr>
        <xdr:spPr>
          <a:xfrm>
            <a:off x="0" y="48647"/>
            <a:ext cx="1804959" cy="284739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APRESENTAÇÃO</a:t>
            </a:r>
            <a:endParaRPr lang="pt-BR" sz="1100">
              <a:solidFill>
                <a:schemeClr val="bg1"/>
              </a:solidFill>
            </a:endParaRPr>
          </a:p>
        </xdr:txBody>
      </xdr:sp>
      <xdr:sp macro="" textlink="">
        <xdr:nvSpPr>
          <xdr:cNvPr id="25" name="Retângulo: Cantos Superiores Arredondados 2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630B2B00-36E9-C6CB-886A-A002946154C2}"/>
              </a:ext>
            </a:extLst>
          </xdr:cNvPr>
          <xdr:cNvSpPr>
            <a:spLocks/>
          </xdr:cNvSpPr>
        </xdr:nvSpPr>
        <xdr:spPr>
          <a:xfrm>
            <a:off x="1800929" y="47625"/>
            <a:ext cx="1799127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INFLAÇÃO</a:t>
            </a:r>
          </a:p>
        </xdr:txBody>
      </xdr:sp>
      <xdr:sp macro="" textlink="">
        <xdr:nvSpPr>
          <xdr:cNvPr id="26" name="Retângulo: Cantos Superiores Arredondados 2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7B7A44CC-930B-6C3B-5750-36AF2435A6D5}"/>
              </a:ext>
            </a:extLst>
          </xdr:cNvPr>
          <xdr:cNvSpPr>
            <a:spLocks/>
          </xdr:cNvSpPr>
        </xdr:nvSpPr>
        <xdr:spPr>
          <a:xfrm>
            <a:off x="14281722" y="48994"/>
            <a:ext cx="1799127" cy="285749"/>
          </a:xfrm>
          <a:prstGeom prst="round2SameRect">
            <a:avLst/>
          </a:prstGeom>
          <a:solidFill>
            <a:schemeClr val="accent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RTA 2025</a:t>
            </a:r>
            <a:endParaRPr lang="pt-BR">
              <a:effectLst/>
            </a:endParaRPr>
          </a:p>
        </xdr:txBody>
      </xdr:sp>
      <xdr:sp macro="" textlink="">
        <xdr:nvSpPr>
          <xdr:cNvPr id="27" name="Retângulo: Cantos Superiores Arredondados 2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B51ACC51-04CE-1FD8-C5EC-DD18BBE9E998}"/>
              </a:ext>
            </a:extLst>
          </xdr:cNvPr>
          <xdr:cNvSpPr>
            <a:spLocks/>
          </xdr:cNvSpPr>
        </xdr:nvSpPr>
        <xdr:spPr>
          <a:xfrm>
            <a:off x="10786750" y="46494"/>
            <a:ext cx="1951605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COMPONENTE FINANCEIRO - CF</a:t>
            </a:r>
          </a:p>
        </xdr:txBody>
      </xdr:sp>
      <xdr:sp macro="" textlink="">
        <xdr:nvSpPr>
          <xdr:cNvPr id="28" name="Retângulo: Cantos Superiores Arredondados 2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8DF5B0FF-F3E6-90BA-E693-D5C50E3CCA82}"/>
              </a:ext>
            </a:extLst>
          </xdr:cNvPr>
          <xdr:cNvSpPr>
            <a:spLocks/>
          </xdr:cNvSpPr>
        </xdr:nvSpPr>
        <xdr:spPr>
          <a:xfrm>
            <a:off x="3596802" y="47625"/>
            <a:ext cx="180472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BÔNUS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DESCONTO</a:t>
            </a:r>
            <a:endParaRPr lang="pt-BR">
              <a:effectLst/>
            </a:endParaRPr>
          </a:p>
        </xdr:txBody>
      </xdr:sp>
      <xdr:sp macro="" textlink="">
        <xdr:nvSpPr>
          <xdr:cNvPr id="29" name="Retângulo: Cantos Superiores Arredondados 2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42B0FA8B-AC4B-C956-C337-9A3F6C7D3533}"/>
              </a:ext>
            </a:extLst>
          </xdr:cNvPr>
          <xdr:cNvSpPr>
            <a:spLocks/>
          </xdr:cNvSpPr>
        </xdr:nvSpPr>
        <xdr:spPr>
          <a:xfrm>
            <a:off x="8975099" y="47625"/>
            <a:ext cx="1829118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VPB</a:t>
            </a:r>
            <a:endParaRPr lang="pt-BR" sz="1100">
              <a:effectLst/>
            </a:endParaRPr>
          </a:p>
        </xdr:txBody>
      </xdr:sp>
      <xdr:sp macro="" textlink="">
        <xdr:nvSpPr>
          <xdr:cNvPr id="30" name="Retângulo: Cantos Superiores Arredondados 2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331265E8-BA8B-745A-6A74-40BCF1762E65}"/>
              </a:ext>
            </a:extLst>
          </xdr:cNvPr>
          <xdr:cNvSpPr>
            <a:spLocks/>
          </xdr:cNvSpPr>
        </xdr:nvSpPr>
        <xdr:spPr>
          <a:xfrm>
            <a:off x="7184140" y="47625"/>
            <a:ext cx="1820319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VPA</a:t>
            </a:r>
          </a:p>
        </xdr:txBody>
      </xdr:sp>
      <xdr:sp macro="" textlink="">
        <xdr:nvSpPr>
          <xdr:cNvPr id="31" name="Retângulo: Cantos Superiores Arredondados 3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17C1F552-B51C-544B-795C-1CEB4CFD5D11}"/>
              </a:ext>
            </a:extLst>
          </xdr:cNvPr>
          <xdr:cNvSpPr>
            <a:spLocks/>
          </xdr:cNvSpPr>
        </xdr:nvSpPr>
        <xdr:spPr>
          <a:xfrm>
            <a:off x="5394829" y="47625"/>
            <a:ext cx="1799127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VOLUMES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- 2024</a:t>
            </a:r>
            <a:endParaRPr lang="pt-BR">
              <a:effectLst/>
            </a:endParaRPr>
          </a:p>
        </xdr:txBody>
      </xdr:sp>
      <xdr:sp macro="" textlink="">
        <xdr:nvSpPr>
          <xdr:cNvPr id="32" name="Retângulo: Cantos Superiores Arredondados 3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3E380AEB-6D2A-B7DB-8DEB-739748F2B204}"/>
              </a:ext>
            </a:extLst>
          </xdr:cNvPr>
          <xdr:cNvSpPr>
            <a:spLocks/>
          </xdr:cNvSpPr>
        </xdr:nvSpPr>
        <xdr:spPr>
          <a:xfrm>
            <a:off x="16074547" y="47937"/>
            <a:ext cx="1232378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2025</a:t>
            </a:r>
            <a:endParaRPr lang="pt-BR">
              <a:effectLst/>
            </a:endParaRPr>
          </a:p>
        </xdr:txBody>
      </xdr:sp>
      <xdr:sp macro="" textlink="">
        <xdr:nvSpPr>
          <xdr:cNvPr id="33" name="Retângulo: Cantos Superiores Arredondados 3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F41E5B73-FCB8-3B35-2310-0FF7552D86E2}"/>
              </a:ext>
            </a:extLst>
          </xdr:cNvPr>
          <xdr:cNvSpPr>
            <a:spLocks/>
          </xdr:cNvSpPr>
        </xdr:nvSpPr>
        <xdr:spPr>
          <a:xfrm>
            <a:off x="12736994" y="47841"/>
            <a:ext cx="154964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OUTROS</a:t>
            </a:r>
            <a:r>
              <a:rPr lang="pt-BR" sz="10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CF</a:t>
            </a:r>
            <a:endParaRPr lang="pt-BR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7938</xdr:rowOff>
    </xdr:from>
    <xdr:to>
      <xdr:col>17</xdr:col>
      <xdr:colOff>275167</xdr:colOff>
      <xdr:row>2</xdr:row>
      <xdr:rowOff>119064</xdr:rowOff>
    </xdr:to>
    <xdr:grpSp>
      <xdr:nvGrpSpPr>
        <xdr:cNvPr id="13" name="Agrupar 12">
          <a:extLst>
            <a:ext uri="{FF2B5EF4-FFF2-40B4-BE49-F238E27FC236}">
              <a16:creationId xmlns:a16="http://schemas.microsoft.com/office/drawing/2014/main" id="{27933F84-5AAD-45E0-8AF3-6B988E4C842E}"/>
            </a:ext>
          </a:extLst>
        </xdr:cNvPr>
        <xdr:cNvGrpSpPr/>
      </xdr:nvGrpSpPr>
      <xdr:grpSpPr>
        <a:xfrm>
          <a:off x="0" y="50271"/>
          <a:ext cx="18827750" cy="291043"/>
          <a:chOff x="0" y="45940"/>
          <a:chExt cx="17306925" cy="290081"/>
        </a:xfrm>
      </xdr:grpSpPr>
      <xdr:sp macro="" textlink="">
        <xdr:nvSpPr>
          <xdr:cNvPr id="14" name="Retângulo: Cantos Superiores Arredondados 13">
            <a:extLst>
              <a:ext uri="{FF2B5EF4-FFF2-40B4-BE49-F238E27FC236}">
                <a16:creationId xmlns:a16="http://schemas.microsoft.com/office/drawing/2014/main" id="{BDB6A62A-4A23-014F-036F-618495CC5AF0}"/>
              </a:ext>
            </a:extLst>
          </xdr:cNvPr>
          <xdr:cNvSpPr>
            <a:spLocks/>
          </xdr:cNvSpPr>
        </xdr:nvSpPr>
        <xdr:spPr>
          <a:xfrm>
            <a:off x="0" y="45940"/>
            <a:ext cx="1804959" cy="290081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APRESENTAÇÃO</a:t>
            </a:r>
            <a:endParaRPr lang="pt-BR" sz="1100">
              <a:solidFill>
                <a:schemeClr val="bg1"/>
              </a:solidFill>
            </a:endParaRPr>
          </a:p>
        </xdr:txBody>
      </xdr:sp>
      <xdr:sp macro="" textlink="">
        <xdr:nvSpPr>
          <xdr:cNvPr id="25" name="Retângulo: Cantos Superiores Arredondados 2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323D15C3-C9D2-9FB5-F35A-9CEBE745B398}"/>
              </a:ext>
            </a:extLst>
          </xdr:cNvPr>
          <xdr:cNvSpPr>
            <a:spLocks/>
          </xdr:cNvSpPr>
        </xdr:nvSpPr>
        <xdr:spPr>
          <a:xfrm>
            <a:off x="1800929" y="47625"/>
            <a:ext cx="1799127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INFLAÇÃO</a:t>
            </a:r>
          </a:p>
        </xdr:txBody>
      </xdr:sp>
      <xdr:sp macro="" textlink="">
        <xdr:nvSpPr>
          <xdr:cNvPr id="26" name="Retângulo: Cantos Superiores Arredondados 2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429CD3F2-6DE0-C6AD-6CDE-35F9633C30E4}"/>
              </a:ext>
            </a:extLst>
          </xdr:cNvPr>
          <xdr:cNvSpPr>
            <a:spLocks/>
          </xdr:cNvSpPr>
        </xdr:nvSpPr>
        <xdr:spPr>
          <a:xfrm>
            <a:off x="14281722" y="48994"/>
            <a:ext cx="1799127" cy="285749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RTA 2025</a:t>
            </a:r>
            <a:endParaRPr lang="pt-BR">
              <a:effectLst/>
            </a:endParaRPr>
          </a:p>
        </xdr:txBody>
      </xdr:sp>
      <xdr:sp macro="" textlink="">
        <xdr:nvSpPr>
          <xdr:cNvPr id="27" name="Retângulo: Cantos Superiores Arredondados 2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1CB6BC48-4381-E5D2-2D41-759C5F2FAEC2}"/>
              </a:ext>
            </a:extLst>
          </xdr:cNvPr>
          <xdr:cNvSpPr>
            <a:spLocks/>
          </xdr:cNvSpPr>
        </xdr:nvSpPr>
        <xdr:spPr>
          <a:xfrm>
            <a:off x="10786750" y="46494"/>
            <a:ext cx="1951605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COMPONENTE FINANCEIRO - CF</a:t>
            </a:r>
          </a:p>
        </xdr:txBody>
      </xdr:sp>
      <xdr:sp macro="" textlink="">
        <xdr:nvSpPr>
          <xdr:cNvPr id="28" name="Retângulo: Cantos Superiores Arredondados 2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F6C5374B-74A2-AB7D-F8CA-893317A391AD}"/>
              </a:ext>
            </a:extLst>
          </xdr:cNvPr>
          <xdr:cNvSpPr>
            <a:spLocks/>
          </xdr:cNvSpPr>
        </xdr:nvSpPr>
        <xdr:spPr>
          <a:xfrm>
            <a:off x="3596802" y="47625"/>
            <a:ext cx="180472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BÔNUS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DESCONTO</a:t>
            </a:r>
            <a:endParaRPr lang="pt-BR">
              <a:effectLst/>
            </a:endParaRPr>
          </a:p>
        </xdr:txBody>
      </xdr:sp>
      <xdr:sp macro="" textlink="">
        <xdr:nvSpPr>
          <xdr:cNvPr id="29" name="Retângulo: Cantos Superiores Arredondados 2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39734D0C-E9B3-F909-AE86-A019C73907BB}"/>
              </a:ext>
            </a:extLst>
          </xdr:cNvPr>
          <xdr:cNvSpPr>
            <a:spLocks/>
          </xdr:cNvSpPr>
        </xdr:nvSpPr>
        <xdr:spPr>
          <a:xfrm>
            <a:off x="8975099" y="47625"/>
            <a:ext cx="1829118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VPB</a:t>
            </a:r>
            <a:endParaRPr lang="pt-BR" sz="1100">
              <a:effectLst/>
            </a:endParaRPr>
          </a:p>
        </xdr:txBody>
      </xdr:sp>
      <xdr:sp macro="" textlink="">
        <xdr:nvSpPr>
          <xdr:cNvPr id="30" name="Retângulo: Cantos Superiores Arredondados 2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66E1FFC-DA9D-1770-956B-4F6024B3E0D1}"/>
              </a:ext>
            </a:extLst>
          </xdr:cNvPr>
          <xdr:cNvSpPr>
            <a:spLocks/>
          </xdr:cNvSpPr>
        </xdr:nvSpPr>
        <xdr:spPr>
          <a:xfrm>
            <a:off x="7184140" y="47625"/>
            <a:ext cx="1820319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VPA</a:t>
            </a:r>
          </a:p>
        </xdr:txBody>
      </xdr:sp>
      <xdr:sp macro="" textlink="">
        <xdr:nvSpPr>
          <xdr:cNvPr id="31" name="Retângulo: Cantos Superiores Arredondados 3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98123C8A-BE37-AF0C-0BB5-21D86EC30E79}"/>
              </a:ext>
            </a:extLst>
          </xdr:cNvPr>
          <xdr:cNvSpPr>
            <a:spLocks/>
          </xdr:cNvSpPr>
        </xdr:nvSpPr>
        <xdr:spPr>
          <a:xfrm>
            <a:off x="5394829" y="47625"/>
            <a:ext cx="1799127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VOLUMES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- 2024</a:t>
            </a:r>
            <a:endParaRPr lang="pt-BR">
              <a:effectLst/>
            </a:endParaRPr>
          </a:p>
        </xdr:txBody>
      </xdr:sp>
      <xdr:sp macro="" textlink="">
        <xdr:nvSpPr>
          <xdr:cNvPr id="33" name="Retângulo: Cantos Superiores Arredondados 3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7F04AF68-235C-6A7D-8982-B6B205CDA298}"/>
              </a:ext>
            </a:extLst>
          </xdr:cNvPr>
          <xdr:cNvSpPr>
            <a:spLocks/>
          </xdr:cNvSpPr>
        </xdr:nvSpPr>
        <xdr:spPr>
          <a:xfrm>
            <a:off x="12736994" y="47841"/>
            <a:ext cx="154964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OUTROS</a:t>
            </a:r>
            <a:r>
              <a:rPr lang="pt-BR" sz="10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CF</a:t>
            </a:r>
            <a:endParaRPr lang="pt-BR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32" name="Retângulo: Cantos Superiores Arredondados 31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F80B18A2-25F6-58B4-6A15-343446D8A664}"/>
              </a:ext>
            </a:extLst>
          </xdr:cNvPr>
          <xdr:cNvSpPr>
            <a:spLocks/>
          </xdr:cNvSpPr>
        </xdr:nvSpPr>
        <xdr:spPr>
          <a:xfrm>
            <a:off x="16074547" y="47937"/>
            <a:ext cx="1232378" cy="288000"/>
          </a:xfrm>
          <a:prstGeom prst="round2SameRect">
            <a:avLst/>
          </a:prstGeom>
          <a:solidFill>
            <a:schemeClr val="accent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2025</a:t>
            </a:r>
            <a:endParaRPr lang="pt-BR">
              <a:effectLst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3</xdr:row>
      <xdr:rowOff>57149</xdr:rowOff>
    </xdr:from>
    <xdr:to>
      <xdr:col>1</xdr:col>
      <xdr:colOff>114300</xdr:colOff>
      <xdr:row>4</xdr:row>
      <xdr:rowOff>152399</xdr:rowOff>
    </xdr:to>
    <xdr:pic>
      <xdr:nvPicPr>
        <xdr:cNvPr id="21" name="Gráfico 20" descr="Informaçõ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9E540E-C966-4B20-9C11-8B3D88476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38150" y="476249"/>
          <a:ext cx="285750" cy="2857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42333</xdr:rowOff>
    </xdr:from>
    <xdr:to>
      <xdr:col>28</xdr:col>
      <xdr:colOff>714375</xdr:colOff>
      <xdr:row>2</xdr:row>
      <xdr:rowOff>111570</xdr:rowOff>
    </xdr:to>
    <xdr:grpSp>
      <xdr:nvGrpSpPr>
        <xdr:cNvPr id="35" name="Agrupar 34">
          <a:extLst>
            <a:ext uri="{FF2B5EF4-FFF2-40B4-BE49-F238E27FC236}">
              <a16:creationId xmlns:a16="http://schemas.microsoft.com/office/drawing/2014/main" id="{789C9947-4FBF-4CD5-A0B0-0DB25D68D2F8}"/>
            </a:ext>
          </a:extLst>
        </xdr:cNvPr>
        <xdr:cNvGrpSpPr/>
      </xdr:nvGrpSpPr>
      <xdr:grpSpPr>
        <a:xfrm>
          <a:off x="0" y="42333"/>
          <a:ext cx="17278350" cy="316887"/>
          <a:chOff x="0" y="38100"/>
          <a:chExt cx="17306925" cy="297837"/>
        </a:xfrm>
      </xdr:grpSpPr>
      <xdr:sp macro="" textlink="">
        <xdr:nvSpPr>
          <xdr:cNvPr id="36" name="Retângulo: Cantos Superiores Arredondados 35">
            <a:extLst>
              <a:ext uri="{FF2B5EF4-FFF2-40B4-BE49-F238E27FC236}">
                <a16:creationId xmlns:a16="http://schemas.microsoft.com/office/drawing/2014/main" id="{E58B3CDA-016B-8373-FD1D-903B3D5D46C0}"/>
              </a:ext>
            </a:extLst>
          </xdr:cNvPr>
          <xdr:cNvSpPr>
            <a:spLocks/>
          </xdr:cNvSpPr>
        </xdr:nvSpPr>
        <xdr:spPr>
          <a:xfrm>
            <a:off x="0" y="38100"/>
            <a:ext cx="1804959" cy="288000"/>
          </a:xfrm>
          <a:prstGeom prst="round2SameRect">
            <a:avLst/>
          </a:prstGeom>
          <a:solidFill>
            <a:schemeClr val="accent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APRESENTAÇÃO</a:t>
            </a:r>
            <a:endParaRPr lang="pt-BR" sz="1100">
              <a:solidFill>
                <a:schemeClr val="bg1"/>
              </a:solidFill>
            </a:endParaRPr>
          </a:p>
        </xdr:txBody>
      </xdr:sp>
      <xdr:sp macro="" textlink="">
        <xdr:nvSpPr>
          <xdr:cNvPr id="37" name="Retângulo: Cantos Superiores Arredondados 36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F89BD26F-DE3E-4A19-D1CC-9E10043D3D0C}"/>
              </a:ext>
            </a:extLst>
          </xdr:cNvPr>
          <xdr:cNvSpPr>
            <a:spLocks/>
          </xdr:cNvSpPr>
        </xdr:nvSpPr>
        <xdr:spPr>
          <a:xfrm>
            <a:off x="1800929" y="47625"/>
            <a:ext cx="1799127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INFLAÇÃO</a:t>
            </a:r>
          </a:p>
        </xdr:txBody>
      </xdr:sp>
      <xdr:sp macro="" textlink="">
        <xdr:nvSpPr>
          <xdr:cNvPr id="38" name="Retângulo: Cantos Superiores Arredondados 37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43DD8FAC-199D-D5FD-0A1E-8B50F224FA24}"/>
              </a:ext>
            </a:extLst>
          </xdr:cNvPr>
          <xdr:cNvSpPr>
            <a:spLocks/>
          </xdr:cNvSpPr>
        </xdr:nvSpPr>
        <xdr:spPr>
          <a:xfrm>
            <a:off x="14281722" y="48994"/>
            <a:ext cx="1799127" cy="285749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RTA 2025</a:t>
            </a:r>
            <a:endParaRPr lang="pt-BR">
              <a:effectLst/>
            </a:endParaRPr>
          </a:p>
        </xdr:txBody>
      </xdr:sp>
      <xdr:sp macro="" textlink="">
        <xdr:nvSpPr>
          <xdr:cNvPr id="39" name="Retângulo: Cantos Superiores Arredondados 3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BCE19899-E7F9-8428-3901-BF80840E7E8A}"/>
              </a:ext>
            </a:extLst>
          </xdr:cNvPr>
          <xdr:cNvSpPr>
            <a:spLocks/>
          </xdr:cNvSpPr>
        </xdr:nvSpPr>
        <xdr:spPr>
          <a:xfrm>
            <a:off x="10786750" y="46494"/>
            <a:ext cx="1951605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COMPONENTE FINANCEIRO - CF</a:t>
            </a:r>
          </a:p>
        </xdr:txBody>
      </xdr:sp>
      <xdr:sp macro="" textlink="">
        <xdr:nvSpPr>
          <xdr:cNvPr id="40" name="Retângulo: Cantos Superiores Arredondados 3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E13E7226-D56C-B3FD-0666-72C19BCA4565}"/>
              </a:ext>
            </a:extLst>
          </xdr:cNvPr>
          <xdr:cNvSpPr>
            <a:spLocks/>
          </xdr:cNvSpPr>
        </xdr:nvSpPr>
        <xdr:spPr>
          <a:xfrm>
            <a:off x="3596802" y="47625"/>
            <a:ext cx="180472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BÔNUS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DESCONTO</a:t>
            </a:r>
            <a:endParaRPr lang="pt-BR">
              <a:effectLst/>
            </a:endParaRPr>
          </a:p>
        </xdr:txBody>
      </xdr:sp>
      <xdr:sp macro="" textlink="">
        <xdr:nvSpPr>
          <xdr:cNvPr id="41" name="Retângulo: Cantos Superiores Arredondados 40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3BD8F748-D0AC-65F7-A1DC-1DCFED57A53D}"/>
              </a:ext>
            </a:extLst>
          </xdr:cNvPr>
          <xdr:cNvSpPr>
            <a:spLocks/>
          </xdr:cNvSpPr>
        </xdr:nvSpPr>
        <xdr:spPr>
          <a:xfrm>
            <a:off x="8975099" y="47625"/>
            <a:ext cx="1829118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VPB</a:t>
            </a:r>
            <a:endParaRPr lang="pt-BR" sz="1100">
              <a:effectLst/>
            </a:endParaRPr>
          </a:p>
        </xdr:txBody>
      </xdr:sp>
      <xdr:sp macro="" textlink="">
        <xdr:nvSpPr>
          <xdr:cNvPr id="42" name="Retângulo: Cantos Superiores Arredondados 41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727DA05-540C-B8B4-6675-E079A9C9C948}"/>
              </a:ext>
            </a:extLst>
          </xdr:cNvPr>
          <xdr:cNvSpPr>
            <a:spLocks/>
          </xdr:cNvSpPr>
        </xdr:nvSpPr>
        <xdr:spPr>
          <a:xfrm>
            <a:off x="7184140" y="47625"/>
            <a:ext cx="1820319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VPA</a:t>
            </a:r>
          </a:p>
        </xdr:txBody>
      </xdr:sp>
      <xdr:sp macro="" textlink="">
        <xdr:nvSpPr>
          <xdr:cNvPr id="43" name="Retângulo: Cantos Superiores Arredondados 42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D99735ED-9FE7-1253-09E2-6886044BA2EE}"/>
              </a:ext>
            </a:extLst>
          </xdr:cNvPr>
          <xdr:cNvSpPr>
            <a:spLocks/>
          </xdr:cNvSpPr>
        </xdr:nvSpPr>
        <xdr:spPr>
          <a:xfrm>
            <a:off x="5394829" y="47625"/>
            <a:ext cx="1799127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VOLUMES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- 2024</a:t>
            </a:r>
            <a:endParaRPr lang="pt-BR">
              <a:effectLst/>
            </a:endParaRPr>
          </a:p>
        </xdr:txBody>
      </xdr:sp>
      <xdr:sp macro="" textlink="">
        <xdr:nvSpPr>
          <xdr:cNvPr id="44" name="Retângulo: Cantos Superiores Arredondados 43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887B6CE0-874F-9AE8-EFD9-0243D927C27A}"/>
              </a:ext>
            </a:extLst>
          </xdr:cNvPr>
          <xdr:cNvSpPr>
            <a:spLocks/>
          </xdr:cNvSpPr>
        </xdr:nvSpPr>
        <xdr:spPr>
          <a:xfrm>
            <a:off x="16074547" y="47937"/>
            <a:ext cx="1232378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2025</a:t>
            </a:r>
            <a:endParaRPr lang="pt-BR">
              <a:effectLst/>
            </a:endParaRPr>
          </a:p>
        </xdr:txBody>
      </xdr:sp>
      <xdr:sp macro="" textlink="">
        <xdr:nvSpPr>
          <xdr:cNvPr id="45" name="Retângulo: Cantos Superiores Arredondados 44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74EC1E70-EA44-D14F-E859-66CE607B47B2}"/>
              </a:ext>
            </a:extLst>
          </xdr:cNvPr>
          <xdr:cNvSpPr>
            <a:spLocks/>
          </xdr:cNvSpPr>
        </xdr:nvSpPr>
        <xdr:spPr>
          <a:xfrm>
            <a:off x="12736994" y="47841"/>
            <a:ext cx="154964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OUTROS</a:t>
            </a:r>
            <a:r>
              <a:rPr lang="pt-BR" sz="10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CF</a:t>
            </a:r>
            <a:endParaRPr lang="pt-BR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645580</xdr:colOff>
      <xdr:row>6</xdr:row>
      <xdr:rowOff>42333</xdr:rowOff>
    </xdr:from>
    <xdr:to>
      <xdr:col>17</xdr:col>
      <xdr:colOff>428624</xdr:colOff>
      <xdr:row>23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40BB92B-86A0-48C8-AB00-0EC9F6A41644}"/>
            </a:ext>
            <a:ext uri="{147F2762-F138-4A5C-976F-8EAC2B608ADB}">
              <a16:predDERef xmlns:a16="http://schemas.microsoft.com/office/drawing/2014/main" pred="{8329071A-EACC-4597-A5FF-E5E5E1915C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19</xdr:col>
      <xdr:colOff>659342</xdr:colOff>
      <xdr:row>2</xdr:row>
      <xdr:rowOff>107337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3A438277-3525-4BD8-85C1-FCC83AA50CDB}"/>
            </a:ext>
          </a:extLst>
        </xdr:cNvPr>
        <xdr:cNvGrpSpPr/>
      </xdr:nvGrpSpPr>
      <xdr:grpSpPr>
        <a:xfrm>
          <a:off x="0" y="34636"/>
          <a:ext cx="18921365" cy="297837"/>
          <a:chOff x="0" y="38100"/>
          <a:chExt cx="17306925" cy="297837"/>
        </a:xfrm>
      </xdr:grpSpPr>
      <xdr:sp macro="" textlink="">
        <xdr:nvSpPr>
          <xdr:cNvPr id="4" name="Retângulo: Cantos Superiores Arredondados 3">
            <a:extLst>
              <a:ext uri="{FF2B5EF4-FFF2-40B4-BE49-F238E27FC236}">
                <a16:creationId xmlns:a16="http://schemas.microsoft.com/office/drawing/2014/main" id="{3D153276-39EC-4E12-0BC8-A36F029F3194}"/>
              </a:ext>
            </a:extLst>
          </xdr:cNvPr>
          <xdr:cNvSpPr>
            <a:spLocks/>
          </xdr:cNvSpPr>
        </xdr:nvSpPr>
        <xdr:spPr>
          <a:xfrm>
            <a:off x="0" y="38100"/>
            <a:ext cx="1804959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APRESENTAÇÃO</a:t>
            </a:r>
            <a:endParaRPr lang="pt-BR" sz="1100">
              <a:solidFill>
                <a:schemeClr val="bg1"/>
              </a:solidFill>
            </a:endParaRPr>
          </a:p>
        </xdr:txBody>
      </xdr:sp>
      <xdr:sp macro="" textlink="">
        <xdr:nvSpPr>
          <xdr:cNvPr id="5" name="Retângulo: Cantos Superiores Arredondados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DE2E96A5-9AC3-1AD0-91F6-44DE7E14F463}"/>
              </a:ext>
            </a:extLst>
          </xdr:cNvPr>
          <xdr:cNvSpPr>
            <a:spLocks/>
          </xdr:cNvSpPr>
        </xdr:nvSpPr>
        <xdr:spPr>
          <a:xfrm>
            <a:off x="1800929" y="47625"/>
            <a:ext cx="1799127" cy="288000"/>
          </a:xfrm>
          <a:prstGeom prst="round2SameRect">
            <a:avLst/>
          </a:prstGeom>
          <a:solidFill>
            <a:schemeClr val="accent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INFLAÇÃO</a:t>
            </a:r>
          </a:p>
        </xdr:txBody>
      </xdr:sp>
      <xdr:sp macro="" textlink="">
        <xdr:nvSpPr>
          <xdr:cNvPr id="6" name="Retângulo: Cantos Superiores Arredondados 5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7B18BBB7-A3DA-BAE3-36BE-F49B0EC4E151}"/>
              </a:ext>
            </a:extLst>
          </xdr:cNvPr>
          <xdr:cNvSpPr>
            <a:spLocks/>
          </xdr:cNvSpPr>
        </xdr:nvSpPr>
        <xdr:spPr>
          <a:xfrm>
            <a:off x="14281722" y="48994"/>
            <a:ext cx="1799127" cy="285749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RTA 2025</a:t>
            </a:r>
            <a:endParaRPr lang="pt-BR">
              <a:effectLst/>
            </a:endParaRPr>
          </a:p>
        </xdr:txBody>
      </xdr:sp>
      <xdr:sp macro="" textlink="">
        <xdr:nvSpPr>
          <xdr:cNvPr id="7" name="Retângulo: Cantos Superiores Arredondados 6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887412EF-E897-5DDD-3CCE-800F6B3F6852}"/>
              </a:ext>
            </a:extLst>
          </xdr:cNvPr>
          <xdr:cNvSpPr>
            <a:spLocks/>
          </xdr:cNvSpPr>
        </xdr:nvSpPr>
        <xdr:spPr>
          <a:xfrm>
            <a:off x="10786750" y="46494"/>
            <a:ext cx="1951605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COMPONENTE FINANCEIRO - CF</a:t>
            </a:r>
          </a:p>
        </xdr:txBody>
      </xdr:sp>
      <xdr:sp macro="" textlink="">
        <xdr:nvSpPr>
          <xdr:cNvPr id="8" name="Retângulo: Cantos Superiores Arredondados 7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E6C09F4B-A1B8-A7A7-D9B7-4D5EFA6DD005}"/>
              </a:ext>
            </a:extLst>
          </xdr:cNvPr>
          <xdr:cNvSpPr>
            <a:spLocks/>
          </xdr:cNvSpPr>
        </xdr:nvSpPr>
        <xdr:spPr>
          <a:xfrm>
            <a:off x="3596802" y="47625"/>
            <a:ext cx="180472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BÔNUS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DESCONTO</a:t>
            </a:r>
            <a:endParaRPr lang="pt-BR">
              <a:effectLst/>
            </a:endParaRPr>
          </a:p>
        </xdr:txBody>
      </xdr:sp>
      <xdr:sp macro="" textlink="">
        <xdr:nvSpPr>
          <xdr:cNvPr id="9" name="Retângulo: Cantos Superiores Arredondados 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BC363328-B83D-BBB4-BEE9-2EA1597D7AB3}"/>
              </a:ext>
            </a:extLst>
          </xdr:cNvPr>
          <xdr:cNvSpPr>
            <a:spLocks/>
          </xdr:cNvSpPr>
        </xdr:nvSpPr>
        <xdr:spPr>
          <a:xfrm>
            <a:off x="8975099" y="47625"/>
            <a:ext cx="1829118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VPB</a:t>
            </a:r>
            <a:endParaRPr lang="pt-BR" sz="1100">
              <a:effectLst/>
            </a:endParaRPr>
          </a:p>
        </xdr:txBody>
      </xdr:sp>
      <xdr:sp macro="" textlink="">
        <xdr:nvSpPr>
          <xdr:cNvPr id="10" name="Retângulo: Cantos Superiores Arredondados 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CEC96ACC-76BA-BC5D-49F3-A9CAF1ACE69C}"/>
              </a:ext>
            </a:extLst>
          </xdr:cNvPr>
          <xdr:cNvSpPr>
            <a:spLocks/>
          </xdr:cNvSpPr>
        </xdr:nvSpPr>
        <xdr:spPr>
          <a:xfrm>
            <a:off x="7184140" y="47625"/>
            <a:ext cx="1820319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VPA</a:t>
            </a:r>
          </a:p>
        </xdr:txBody>
      </xdr:sp>
      <xdr:sp macro="" textlink="">
        <xdr:nvSpPr>
          <xdr:cNvPr id="11" name="Retângulo: Cantos Superiores Arredondados 10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E9D2A0B2-92AC-4D42-D91B-DC874DB64BC3}"/>
              </a:ext>
            </a:extLst>
          </xdr:cNvPr>
          <xdr:cNvSpPr>
            <a:spLocks/>
          </xdr:cNvSpPr>
        </xdr:nvSpPr>
        <xdr:spPr>
          <a:xfrm>
            <a:off x="5394829" y="47625"/>
            <a:ext cx="1799127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VOLUMES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- 2024</a:t>
            </a:r>
            <a:endParaRPr lang="pt-BR">
              <a:effectLst/>
            </a:endParaRPr>
          </a:p>
        </xdr:txBody>
      </xdr:sp>
      <xdr:sp macro="" textlink="">
        <xdr:nvSpPr>
          <xdr:cNvPr id="12" name="Retângulo: Cantos Superiores Arredondados 11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7F31B072-0450-4A1C-FA50-E00983EC4DD0}"/>
              </a:ext>
            </a:extLst>
          </xdr:cNvPr>
          <xdr:cNvSpPr>
            <a:spLocks/>
          </xdr:cNvSpPr>
        </xdr:nvSpPr>
        <xdr:spPr>
          <a:xfrm>
            <a:off x="16074547" y="47937"/>
            <a:ext cx="1232378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2025</a:t>
            </a:r>
            <a:endParaRPr lang="pt-BR">
              <a:effectLst/>
            </a:endParaRPr>
          </a:p>
        </xdr:txBody>
      </xdr:sp>
      <xdr:sp macro="" textlink="">
        <xdr:nvSpPr>
          <xdr:cNvPr id="15" name="Retângulo: Cantos Superiores Arredondados 14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8DBBBC65-408D-5A08-4F42-AAD6CC5584A9}"/>
              </a:ext>
            </a:extLst>
          </xdr:cNvPr>
          <xdr:cNvSpPr>
            <a:spLocks/>
          </xdr:cNvSpPr>
        </xdr:nvSpPr>
        <xdr:spPr>
          <a:xfrm>
            <a:off x="12736994" y="47841"/>
            <a:ext cx="154964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OUTROS</a:t>
            </a:r>
            <a:r>
              <a:rPr lang="pt-BR" sz="10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CF</a:t>
            </a:r>
            <a:endParaRPr lang="pt-BR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219075</xdr:colOff>
      <xdr:row>24</xdr:row>
      <xdr:rowOff>84666</xdr:rowOff>
    </xdr:from>
    <xdr:to>
      <xdr:col>13</xdr:col>
      <xdr:colOff>1005417</xdr:colOff>
      <xdr:row>38</xdr:row>
      <xdr:rowOff>161925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F6BC9A2-3015-491E-B28F-272415D6AAA7}"/>
            </a:ext>
            <a:ext uri="{147F2762-F138-4A5C-976F-8EAC2B608ADB}">
              <a16:predDERef xmlns:a16="http://schemas.microsoft.com/office/drawing/2014/main" pred="{1AD150DC-88D1-49B1-A304-55C1803A64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8424</xdr:rowOff>
    </xdr:from>
    <xdr:to>
      <xdr:col>17</xdr:col>
      <xdr:colOff>0</xdr:colOff>
      <xdr:row>2</xdr:row>
      <xdr:rowOff>108395</xdr:rowOff>
    </xdr:to>
    <xdr:grpSp>
      <xdr:nvGrpSpPr>
        <xdr:cNvPr id="35" name="Agrupar 34">
          <a:extLst>
            <a:ext uri="{FF2B5EF4-FFF2-40B4-BE49-F238E27FC236}">
              <a16:creationId xmlns:a16="http://schemas.microsoft.com/office/drawing/2014/main" id="{E4BC77E7-E3F2-FF79-FB36-913408991D1F}"/>
            </a:ext>
          </a:extLst>
        </xdr:cNvPr>
        <xdr:cNvGrpSpPr/>
      </xdr:nvGrpSpPr>
      <xdr:grpSpPr>
        <a:xfrm>
          <a:off x="0" y="46524"/>
          <a:ext cx="17373600" cy="290471"/>
          <a:chOff x="0" y="46524"/>
          <a:chExt cx="17373600" cy="290471"/>
        </a:xfrm>
      </xdr:grpSpPr>
      <xdr:sp macro="" textlink="">
        <xdr:nvSpPr>
          <xdr:cNvPr id="25" name="Retângulo: Cantos Superiores Arredondados 24">
            <a:extLst>
              <a:ext uri="{FF2B5EF4-FFF2-40B4-BE49-F238E27FC236}">
                <a16:creationId xmlns:a16="http://schemas.microsoft.com/office/drawing/2014/main" id="{E2490064-ED87-0AC8-FC72-084B62AFE448}"/>
              </a:ext>
            </a:extLst>
          </xdr:cNvPr>
          <xdr:cNvSpPr>
            <a:spLocks/>
          </xdr:cNvSpPr>
        </xdr:nvSpPr>
        <xdr:spPr>
          <a:xfrm>
            <a:off x="0" y="47625"/>
            <a:ext cx="1812354" cy="289023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APRESENTAÇÃO</a:t>
            </a:r>
            <a:endParaRPr lang="pt-BR" sz="1100">
              <a:solidFill>
                <a:schemeClr val="bg1"/>
              </a:solidFill>
            </a:endParaRPr>
          </a:p>
        </xdr:txBody>
      </xdr:sp>
      <xdr:sp macro="" textlink="">
        <xdr:nvSpPr>
          <xdr:cNvPr id="26" name="Retângulo: Cantos Superiores Arredondados 2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49C9588-4661-1A8A-2457-B79D1590B70B}"/>
              </a:ext>
            </a:extLst>
          </xdr:cNvPr>
          <xdr:cNvSpPr>
            <a:spLocks/>
          </xdr:cNvSpPr>
        </xdr:nvSpPr>
        <xdr:spPr>
          <a:xfrm>
            <a:off x="1808308" y="47659"/>
            <a:ext cx="1806498" cy="289023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INFLAÇÃO</a:t>
            </a:r>
          </a:p>
        </xdr:txBody>
      </xdr:sp>
      <xdr:sp macro="" textlink="">
        <xdr:nvSpPr>
          <xdr:cNvPr id="27" name="Retângulo: Cantos Superiores Arredondados 2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EAC6BE7F-5FE0-31AE-69D2-157B38E71BF4}"/>
              </a:ext>
            </a:extLst>
          </xdr:cNvPr>
          <xdr:cNvSpPr>
            <a:spLocks/>
          </xdr:cNvSpPr>
        </xdr:nvSpPr>
        <xdr:spPr>
          <a:xfrm>
            <a:off x="14340236" y="49033"/>
            <a:ext cx="1806498" cy="286764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RTA 2025</a:t>
            </a:r>
            <a:endParaRPr lang="pt-BR">
              <a:effectLst/>
            </a:endParaRPr>
          </a:p>
        </xdr:txBody>
      </xdr:sp>
      <xdr:sp macro="" textlink="">
        <xdr:nvSpPr>
          <xdr:cNvPr id="28" name="Retângulo: Cantos Superiores Arredondados 2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195CEDFB-BDC5-114E-A143-99EADCC7CAA5}"/>
              </a:ext>
            </a:extLst>
          </xdr:cNvPr>
          <xdr:cNvSpPr>
            <a:spLocks/>
          </xdr:cNvSpPr>
        </xdr:nvSpPr>
        <xdr:spPr>
          <a:xfrm>
            <a:off x="10830945" y="46524"/>
            <a:ext cx="1959601" cy="289023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COMPONENTE FINANCEIRO - CF</a:t>
            </a:r>
          </a:p>
        </xdr:txBody>
      </xdr:sp>
      <xdr:sp macro="" textlink="">
        <xdr:nvSpPr>
          <xdr:cNvPr id="29" name="Retângulo: Cantos Superiores Arredondados 2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4AF2A684-4678-8138-2983-F4C2F1B084C5}"/>
              </a:ext>
            </a:extLst>
          </xdr:cNvPr>
          <xdr:cNvSpPr>
            <a:spLocks/>
          </xdr:cNvSpPr>
        </xdr:nvSpPr>
        <xdr:spPr>
          <a:xfrm>
            <a:off x="3611539" y="47659"/>
            <a:ext cx="1812116" cy="289023"/>
          </a:xfrm>
          <a:prstGeom prst="round2SameRect">
            <a:avLst/>
          </a:prstGeom>
          <a:solidFill>
            <a:schemeClr val="accent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BÔNUS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DESCONTO</a:t>
            </a:r>
            <a:endParaRPr lang="pt-BR">
              <a:effectLst/>
            </a:endParaRPr>
          </a:p>
        </xdr:txBody>
      </xdr:sp>
      <xdr:sp macro="" textlink="">
        <xdr:nvSpPr>
          <xdr:cNvPr id="30" name="Retângulo: Cantos Superiores Arredondados 2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13F20158-6AE1-60DC-8020-BA07B42FD808}"/>
              </a:ext>
            </a:extLst>
          </xdr:cNvPr>
          <xdr:cNvSpPr>
            <a:spLocks/>
          </xdr:cNvSpPr>
        </xdr:nvSpPr>
        <xdr:spPr>
          <a:xfrm>
            <a:off x="9011871" y="47659"/>
            <a:ext cx="1836612" cy="289023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VPB</a:t>
            </a:r>
            <a:endParaRPr lang="pt-BR" sz="1100">
              <a:effectLst/>
            </a:endParaRPr>
          </a:p>
        </xdr:txBody>
      </xdr:sp>
      <xdr:sp macro="" textlink="">
        <xdr:nvSpPr>
          <xdr:cNvPr id="31" name="Retângulo: Cantos Superiores Arredondados 3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B4012CBF-5883-A4C5-9F3D-6DDC148D3BF5}"/>
              </a:ext>
            </a:extLst>
          </xdr:cNvPr>
          <xdr:cNvSpPr>
            <a:spLocks/>
          </xdr:cNvSpPr>
        </xdr:nvSpPr>
        <xdr:spPr>
          <a:xfrm>
            <a:off x="7213574" y="47659"/>
            <a:ext cx="1827777" cy="289023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VPA</a:t>
            </a:r>
          </a:p>
        </xdr:txBody>
      </xdr:sp>
      <xdr:sp macro="" textlink="">
        <xdr:nvSpPr>
          <xdr:cNvPr id="32" name="Retângulo: Cantos Superiores Arredondados 3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DACB4213-C907-1845-1F41-6E0DCAFC17C7}"/>
              </a:ext>
            </a:extLst>
          </xdr:cNvPr>
          <xdr:cNvSpPr>
            <a:spLocks/>
          </xdr:cNvSpPr>
        </xdr:nvSpPr>
        <xdr:spPr>
          <a:xfrm>
            <a:off x="5416932" y="47659"/>
            <a:ext cx="1806498" cy="289023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VOLUMES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- 2024</a:t>
            </a:r>
            <a:endParaRPr lang="pt-BR">
              <a:effectLst/>
            </a:endParaRPr>
          </a:p>
        </xdr:txBody>
      </xdr:sp>
      <xdr:sp macro="" textlink="">
        <xdr:nvSpPr>
          <xdr:cNvPr id="33" name="Retângulo: Cantos Superiores Arredondados 3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984A5F34-151F-37BA-08D7-927948FE47EA}"/>
              </a:ext>
            </a:extLst>
          </xdr:cNvPr>
          <xdr:cNvSpPr>
            <a:spLocks/>
          </xdr:cNvSpPr>
        </xdr:nvSpPr>
        <xdr:spPr>
          <a:xfrm>
            <a:off x="16140407" y="47972"/>
            <a:ext cx="1233193" cy="289023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2025</a:t>
            </a:r>
            <a:endParaRPr lang="pt-BR">
              <a:effectLst/>
            </a:endParaRPr>
          </a:p>
        </xdr:txBody>
      </xdr:sp>
      <xdr:sp macro="" textlink="">
        <xdr:nvSpPr>
          <xdr:cNvPr id="34" name="Retângulo: Cantos Superiores Arredondados 33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DABDE501-B60D-FCCD-A433-5BDBAF718D74}"/>
              </a:ext>
            </a:extLst>
          </xdr:cNvPr>
          <xdr:cNvSpPr>
            <a:spLocks/>
          </xdr:cNvSpPr>
        </xdr:nvSpPr>
        <xdr:spPr>
          <a:xfrm>
            <a:off x="12789179" y="47876"/>
            <a:ext cx="1555989" cy="289023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OUTROS</a:t>
            </a:r>
            <a:r>
              <a:rPr lang="pt-BR" sz="10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CF</a:t>
            </a:r>
            <a:endParaRPr lang="pt-BR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</xdr:colOff>
      <xdr:row>1</xdr:row>
      <xdr:rowOff>17911</xdr:rowOff>
    </xdr:from>
    <xdr:to>
      <xdr:col>19</xdr:col>
      <xdr:colOff>0</xdr:colOff>
      <xdr:row>2</xdr:row>
      <xdr:rowOff>128504</xdr:rowOff>
    </xdr:to>
    <xdr:grpSp>
      <xdr:nvGrpSpPr>
        <xdr:cNvPr id="34" name="Agrupar 33">
          <a:extLst>
            <a:ext uri="{FF2B5EF4-FFF2-40B4-BE49-F238E27FC236}">
              <a16:creationId xmlns:a16="http://schemas.microsoft.com/office/drawing/2014/main" id="{FEE64B28-29C8-B059-B738-2AABFD8EFF97}"/>
            </a:ext>
          </a:extLst>
        </xdr:cNvPr>
        <xdr:cNvGrpSpPr/>
      </xdr:nvGrpSpPr>
      <xdr:grpSpPr>
        <a:xfrm>
          <a:off x="5291" y="53630"/>
          <a:ext cx="17425459" cy="289187"/>
          <a:chOff x="5291" y="53630"/>
          <a:chExt cx="17425459" cy="289187"/>
        </a:xfrm>
      </xdr:grpSpPr>
      <xdr:sp macro="" textlink="">
        <xdr:nvSpPr>
          <xdr:cNvPr id="14" name="Retângulo: Cantos Superiores Arredondados 13">
            <a:extLst>
              <a:ext uri="{FF2B5EF4-FFF2-40B4-BE49-F238E27FC236}">
                <a16:creationId xmlns:a16="http://schemas.microsoft.com/office/drawing/2014/main" id="{C58CF654-2B71-A5FA-5692-DAAACD8A3125}"/>
              </a:ext>
            </a:extLst>
          </xdr:cNvPr>
          <xdr:cNvSpPr>
            <a:spLocks/>
          </xdr:cNvSpPr>
        </xdr:nvSpPr>
        <xdr:spPr>
          <a:xfrm>
            <a:off x="5291" y="53630"/>
            <a:ext cx="1818085" cy="286569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APRESENTAÇÃO</a:t>
            </a:r>
            <a:endParaRPr lang="pt-BR" sz="1100">
              <a:solidFill>
                <a:schemeClr val="bg1"/>
              </a:solidFill>
            </a:endParaRPr>
          </a:p>
        </xdr:txBody>
      </xdr:sp>
      <xdr:sp macro="" textlink="">
        <xdr:nvSpPr>
          <xdr:cNvPr id="25" name="Retângulo: Cantos Superiores Arredondados 2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E431C868-D8FE-D0A0-632D-1F95A9FA1BD3}"/>
              </a:ext>
            </a:extLst>
          </xdr:cNvPr>
          <xdr:cNvSpPr>
            <a:spLocks/>
          </xdr:cNvSpPr>
        </xdr:nvSpPr>
        <xdr:spPr>
          <a:xfrm>
            <a:off x="1819317" y="55932"/>
            <a:ext cx="1806716" cy="286569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INFLAÇÃO</a:t>
            </a:r>
          </a:p>
        </xdr:txBody>
      </xdr:sp>
      <xdr:sp macro="" textlink="">
        <xdr:nvSpPr>
          <xdr:cNvPr id="26" name="Retângulo: Cantos Superiores Arredondados 2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FF59CD65-4A66-111E-A862-4F6F045C85EE}"/>
              </a:ext>
            </a:extLst>
          </xdr:cNvPr>
          <xdr:cNvSpPr>
            <a:spLocks/>
          </xdr:cNvSpPr>
        </xdr:nvSpPr>
        <xdr:spPr>
          <a:xfrm>
            <a:off x="14389958" y="57316"/>
            <a:ext cx="1807632" cy="284294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RTA 2025</a:t>
            </a:r>
            <a:endParaRPr lang="pt-BR">
              <a:effectLst/>
            </a:endParaRPr>
          </a:p>
        </xdr:txBody>
      </xdr:sp>
      <xdr:sp macro="" textlink="">
        <xdr:nvSpPr>
          <xdr:cNvPr id="27" name="Retângulo: Cantos Superiores Arredondados 2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7DCBA9AE-7CAE-2287-37D3-E1E17186F671}"/>
              </a:ext>
            </a:extLst>
          </xdr:cNvPr>
          <xdr:cNvSpPr>
            <a:spLocks/>
          </xdr:cNvSpPr>
        </xdr:nvSpPr>
        <xdr:spPr>
          <a:xfrm>
            <a:off x="10865906" y="54789"/>
            <a:ext cx="1967629" cy="286569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COMPONENTE FINANCEIRO - CF</a:t>
            </a:r>
          </a:p>
        </xdr:txBody>
      </xdr:sp>
      <xdr:sp macro="" textlink="">
        <xdr:nvSpPr>
          <xdr:cNvPr id="28" name="Retângulo: Cantos Superiores Arredondados 2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1774655E-83A5-4048-0FC3-DE3CB4879F54}"/>
              </a:ext>
            </a:extLst>
          </xdr:cNvPr>
          <xdr:cNvSpPr>
            <a:spLocks/>
          </xdr:cNvSpPr>
        </xdr:nvSpPr>
        <xdr:spPr>
          <a:xfrm>
            <a:off x="3622755" y="55932"/>
            <a:ext cx="1813266" cy="286569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BÔNUS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DESCONTO</a:t>
            </a:r>
            <a:endParaRPr lang="pt-BR">
              <a:effectLst/>
            </a:endParaRPr>
          </a:p>
        </xdr:txBody>
      </xdr:sp>
      <xdr:sp macro="" textlink="">
        <xdr:nvSpPr>
          <xdr:cNvPr id="29" name="Retângulo: Cantos Superiores Arredondados 2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E1CF7729-D170-98E8-03BF-3CCB39D68185}"/>
              </a:ext>
            </a:extLst>
          </xdr:cNvPr>
          <xdr:cNvSpPr>
            <a:spLocks/>
          </xdr:cNvSpPr>
        </xdr:nvSpPr>
        <xdr:spPr>
          <a:xfrm>
            <a:off x="9039249" y="55932"/>
            <a:ext cx="1844252" cy="286569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VPB</a:t>
            </a:r>
            <a:endParaRPr lang="pt-BR" sz="1100">
              <a:effectLst/>
            </a:endParaRPr>
          </a:p>
        </xdr:txBody>
      </xdr:sp>
      <xdr:sp macro="" textlink="">
        <xdr:nvSpPr>
          <xdr:cNvPr id="30" name="Retângulo: Cantos Superiores Arredondados 2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B67DD336-729D-7126-D6E6-C7C33749DE85}"/>
              </a:ext>
            </a:extLst>
          </xdr:cNvPr>
          <xdr:cNvSpPr>
            <a:spLocks/>
          </xdr:cNvSpPr>
        </xdr:nvSpPr>
        <xdr:spPr>
          <a:xfrm>
            <a:off x="7233433" y="55932"/>
            <a:ext cx="1835389" cy="286569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VPA</a:t>
            </a:r>
          </a:p>
        </xdr:txBody>
      </xdr:sp>
      <xdr:sp macro="" textlink="">
        <xdr:nvSpPr>
          <xdr:cNvPr id="31" name="Retângulo: Cantos Superiores Arredondados 3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BA7815B7-0B41-D3E0-8FCD-55AEA913D5C9}"/>
              </a:ext>
            </a:extLst>
          </xdr:cNvPr>
          <xdr:cNvSpPr>
            <a:spLocks/>
          </xdr:cNvSpPr>
        </xdr:nvSpPr>
        <xdr:spPr>
          <a:xfrm>
            <a:off x="5429278" y="55932"/>
            <a:ext cx="1814043" cy="286569"/>
          </a:xfrm>
          <a:prstGeom prst="round2SameRect">
            <a:avLst/>
          </a:prstGeom>
          <a:solidFill>
            <a:schemeClr val="accent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VOLUMES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- 2024</a:t>
            </a:r>
            <a:endParaRPr lang="pt-BR">
              <a:effectLst/>
            </a:endParaRPr>
          </a:p>
        </xdr:txBody>
      </xdr:sp>
      <xdr:sp macro="" textlink="">
        <xdr:nvSpPr>
          <xdr:cNvPr id="32" name="Retângulo: Cantos Superiores Arredondados 3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AA03EAEC-BA72-8157-F8C3-2FE142CD974D}"/>
              </a:ext>
            </a:extLst>
          </xdr:cNvPr>
          <xdr:cNvSpPr>
            <a:spLocks/>
          </xdr:cNvSpPr>
        </xdr:nvSpPr>
        <xdr:spPr>
          <a:xfrm>
            <a:off x="16191242" y="56248"/>
            <a:ext cx="1239508" cy="286569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2025</a:t>
            </a:r>
            <a:endParaRPr lang="pt-BR">
              <a:effectLst/>
            </a:endParaRPr>
          </a:p>
        </xdr:txBody>
      </xdr:sp>
      <xdr:sp macro="" textlink="">
        <xdr:nvSpPr>
          <xdr:cNvPr id="33" name="Retângulo: Cantos Superiores Arredondados 3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291E2B03-EBB5-260F-45BF-9D753B684AE7}"/>
              </a:ext>
            </a:extLst>
          </xdr:cNvPr>
          <xdr:cNvSpPr>
            <a:spLocks/>
          </xdr:cNvSpPr>
        </xdr:nvSpPr>
        <xdr:spPr>
          <a:xfrm>
            <a:off x="12832164" y="56150"/>
            <a:ext cx="1562741" cy="286569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OUTROS</a:t>
            </a:r>
            <a:r>
              <a:rPr lang="pt-BR" sz="10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CF</a:t>
            </a:r>
            <a:endParaRPr lang="pt-BR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8424</xdr:rowOff>
    </xdr:from>
    <xdr:to>
      <xdr:col>9</xdr:col>
      <xdr:colOff>167217</xdr:colOff>
      <xdr:row>2</xdr:row>
      <xdr:rowOff>119689</xdr:rowOff>
    </xdr:to>
    <xdr:grpSp>
      <xdr:nvGrpSpPr>
        <xdr:cNvPr id="23" name="Agrupar 22">
          <a:extLst>
            <a:ext uri="{FF2B5EF4-FFF2-40B4-BE49-F238E27FC236}">
              <a16:creationId xmlns:a16="http://schemas.microsoft.com/office/drawing/2014/main" id="{56DCA5EA-82FE-9AFE-C964-8B714D01FCEA}"/>
            </a:ext>
          </a:extLst>
        </xdr:cNvPr>
        <xdr:cNvGrpSpPr/>
      </xdr:nvGrpSpPr>
      <xdr:grpSpPr>
        <a:xfrm>
          <a:off x="0" y="46524"/>
          <a:ext cx="17159817" cy="292240"/>
          <a:chOff x="0" y="50757"/>
          <a:chExt cx="17396884" cy="291182"/>
        </a:xfrm>
      </xdr:grpSpPr>
      <xdr:sp macro="" textlink="">
        <xdr:nvSpPr>
          <xdr:cNvPr id="3" name="Retângulo: Cantos Superiores Arredondados 2">
            <a:extLst>
              <a:ext uri="{FF2B5EF4-FFF2-40B4-BE49-F238E27FC236}">
                <a16:creationId xmlns:a16="http://schemas.microsoft.com/office/drawing/2014/main" id="{A015857E-47BF-4A3C-D229-25277FCB7ED1}"/>
              </a:ext>
            </a:extLst>
          </xdr:cNvPr>
          <xdr:cNvSpPr>
            <a:spLocks/>
          </xdr:cNvSpPr>
        </xdr:nvSpPr>
        <xdr:spPr>
          <a:xfrm>
            <a:off x="0" y="52916"/>
            <a:ext cx="1814341" cy="289023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APRESENTAÇÃO</a:t>
            </a:r>
            <a:endParaRPr lang="pt-BR" sz="1100">
              <a:solidFill>
                <a:schemeClr val="bg1"/>
              </a:solidFill>
            </a:endParaRPr>
          </a:p>
        </xdr:txBody>
      </xdr:sp>
      <xdr:sp macro="" textlink="">
        <xdr:nvSpPr>
          <xdr:cNvPr id="4" name="Retângulo: Cantos Superiores Arredondados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75EFC231-623E-4A9A-EAF9-AA2AE0508AE5}"/>
              </a:ext>
            </a:extLst>
          </xdr:cNvPr>
          <xdr:cNvSpPr>
            <a:spLocks/>
          </xdr:cNvSpPr>
        </xdr:nvSpPr>
        <xdr:spPr>
          <a:xfrm>
            <a:off x="1810290" y="51892"/>
            <a:ext cx="1808479" cy="289023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INFLAÇÃO</a:t>
            </a:r>
          </a:p>
        </xdr:txBody>
      </xdr:sp>
      <xdr:sp macro="" textlink="">
        <xdr:nvSpPr>
          <xdr:cNvPr id="5" name="Retângulo: Cantos Superiores Arredondados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71E306F-7FA0-E8F1-4F40-3023E9E1EEB4}"/>
              </a:ext>
            </a:extLst>
          </xdr:cNvPr>
          <xdr:cNvSpPr>
            <a:spLocks/>
          </xdr:cNvSpPr>
        </xdr:nvSpPr>
        <xdr:spPr>
          <a:xfrm>
            <a:off x="14355956" y="53266"/>
            <a:ext cx="1808479" cy="286764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RTA 2025</a:t>
            </a:r>
            <a:endParaRPr lang="pt-BR">
              <a:effectLst/>
            </a:endParaRPr>
          </a:p>
        </xdr:txBody>
      </xdr:sp>
      <xdr:sp macro="" textlink="">
        <xdr:nvSpPr>
          <xdr:cNvPr id="6" name="Retângulo: Cantos Superiores Arredondados 5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25AA2060-FCBF-6720-1C94-C87521C79516}"/>
              </a:ext>
            </a:extLst>
          </xdr:cNvPr>
          <xdr:cNvSpPr>
            <a:spLocks/>
          </xdr:cNvSpPr>
        </xdr:nvSpPr>
        <xdr:spPr>
          <a:xfrm>
            <a:off x="10842818" y="50757"/>
            <a:ext cx="1961749" cy="289023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COMPONENTE FINANCEIRO - CF</a:t>
            </a:r>
          </a:p>
        </xdr:txBody>
      </xdr:sp>
      <xdr:sp macro="" textlink="">
        <xdr:nvSpPr>
          <xdr:cNvPr id="7" name="Retângulo: Cantos Superiores Arredondados 6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AAA8EF96-0470-1F67-CF14-992706B91FBA}"/>
              </a:ext>
            </a:extLst>
          </xdr:cNvPr>
          <xdr:cNvSpPr>
            <a:spLocks/>
          </xdr:cNvSpPr>
        </xdr:nvSpPr>
        <xdr:spPr>
          <a:xfrm>
            <a:off x="3615498" y="51892"/>
            <a:ext cx="1814103" cy="289023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BÔNUS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DESCONTO</a:t>
            </a:r>
            <a:endParaRPr lang="pt-BR">
              <a:effectLst/>
            </a:endParaRPr>
          </a:p>
        </xdr:txBody>
      </xdr:sp>
      <xdr:sp macro="" textlink="">
        <xdr:nvSpPr>
          <xdr:cNvPr id="8" name="Retângulo: Cantos Superiores Arredondados 7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BF2188EC-92CA-D48D-D14C-B78D16D6B008}"/>
              </a:ext>
            </a:extLst>
          </xdr:cNvPr>
          <xdr:cNvSpPr>
            <a:spLocks/>
          </xdr:cNvSpPr>
        </xdr:nvSpPr>
        <xdr:spPr>
          <a:xfrm>
            <a:off x="9021750" y="51892"/>
            <a:ext cx="1838626" cy="289023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VPB</a:t>
            </a:r>
            <a:endParaRPr lang="pt-BR" sz="1100">
              <a:effectLst/>
            </a:endParaRPr>
          </a:p>
        </xdr:txBody>
      </xdr:sp>
      <xdr:sp macro="" textlink="">
        <xdr:nvSpPr>
          <xdr:cNvPr id="9" name="Retângulo: Cantos Superiores Arredondados 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6C5CEBE1-4C41-8F03-342C-9944A027D7F6}"/>
              </a:ext>
            </a:extLst>
          </xdr:cNvPr>
          <xdr:cNvSpPr>
            <a:spLocks/>
          </xdr:cNvSpPr>
        </xdr:nvSpPr>
        <xdr:spPr>
          <a:xfrm>
            <a:off x="7221482" y="51892"/>
            <a:ext cx="1829781" cy="289023"/>
          </a:xfrm>
          <a:prstGeom prst="round2SameRect">
            <a:avLst/>
          </a:prstGeom>
          <a:solidFill>
            <a:schemeClr val="accent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VPA</a:t>
            </a:r>
          </a:p>
        </xdr:txBody>
      </xdr:sp>
      <xdr:sp macro="" textlink="">
        <xdr:nvSpPr>
          <xdr:cNvPr id="10" name="Retângulo: Cantos Superiores Arredondados 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4C591962-D33F-D4B5-BA25-790929FE5C72}"/>
              </a:ext>
            </a:extLst>
          </xdr:cNvPr>
          <xdr:cNvSpPr>
            <a:spLocks/>
          </xdr:cNvSpPr>
        </xdr:nvSpPr>
        <xdr:spPr>
          <a:xfrm>
            <a:off x="5422871" y="51892"/>
            <a:ext cx="1808479" cy="289023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VOLUMES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- 2024</a:t>
            </a:r>
            <a:endParaRPr lang="pt-BR">
              <a:effectLst/>
            </a:endParaRPr>
          </a:p>
        </xdr:txBody>
      </xdr:sp>
      <xdr:sp macro="" textlink="">
        <xdr:nvSpPr>
          <xdr:cNvPr id="11" name="Retângulo: Cantos Superiores Arredondados 10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6D6E8A89-EDC6-C8B2-3696-57967D8C3854}"/>
              </a:ext>
            </a:extLst>
          </xdr:cNvPr>
          <xdr:cNvSpPr>
            <a:spLocks/>
          </xdr:cNvSpPr>
        </xdr:nvSpPr>
        <xdr:spPr>
          <a:xfrm>
            <a:off x="16158100" y="52205"/>
            <a:ext cx="1238784" cy="289023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2025</a:t>
            </a:r>
            <a:endParaRPr lang="pt-BR">
              <a:effectLst/>
            </a:endParaRPr>
          </a:p>
        </xdr:txBody>
      </xdr:sp>
      <xdr:sp macro="" textlink="">
        <xdr:nvSpPr>
          <xdr:cNvPr id="12" name="Retângulo: Cantos Superiores Arredondados 11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7A6DB508-3A3C-8B9A-CCDB-A634E3AE58E2}"/>
              </a:ext>
            </a:extLst>
          </xdr:cNvPr>
          <xdr:cNvSpPr>
            <a:spLocks/>
          </xdr:cNvSpPr>
        </xdr:nvSpPr>
        <xdr:spPr>
          <a:xfrm>
            <a:off x="12803199" y="52109"/>
            <a:ext cx="1557695" cy="289023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OUTROS</a:t>
            </a:r>
            <a:r>
              <a:rPr lang="pt-BR" sz="10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CF</a:t>
            </a:r>
            <a:endParaRPr lang="pt-BR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1876425</xdr:colOff>
      <xdr:row>6</xdr:row>
      <xdr:rowOff>76200</xdr:rowOff>
    </xdr:from>
    <xdr:to>
      <xdr:col>11</xdr:col>
      <xdr:colOff>400049</xdr:colOff>
      <xdr:row>16</xdr:row>
      <xdr:rowOff>219075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63205B8-B51E-4C01-BCF5-112A4DA6D786}"/>
            </a:ext>
            <a:ext uri="{147F2762-F138-4A5C-976F-8EAC2B608ADB}">
              <a16:predDERef xmlns:a16="http://schemas.microsoft.com/office/drawing/2014/main" pred="{BEEEF75C-D86C-4111-A493-EECAD3BAF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1695450</xdr:colOff>
      <xdr:row>18</xdr:row>
      <xdr:rowOff>85724</xdr:rowOff>
    </xdr:from>
    <xdr:to>
      <xdr:col>11</xdr:col>
      <xdr:colOff>657227</xdr:colOff>
      <xdr:row>33</xdr:row>
      <xdr:rowOff>57149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59BB6C7-A398-4790-A944-A54A5D39A622}"/>
            </a:ext>
            <a:ext uri="{147F2762-F138-4A5C-976F-8EAC2B608ADB}">
              <a16:predDERef xmlns:a16="http://schemas.microsoft.com/office/drawing/2014/main" pred="{C9EBC788-1D87-4CAB-A22D-59133CDBF7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</xdr:row>
      <xdr:rowOff>8424</xdr:rowOff>
    </xdr:from>
    <xdr:to>
      <xdr:col>12</xdr:col>
      <xdr:colOff>0</xdr:colOff>
      <xdr:row>2</xdr:row>
      <xdr:rowOff>108395</xdr:rowOff>
    </xdr:to>
    <xdr:grpSp>
      <xdr:nvGrpSpPr>
        <xdr:cNvPr id="25" name="Agrupar 24">
          <a:extLst>
            <a:ext uri="{FF2B5EF4-FFF2-40B4-BE49-F238E27FC236}">
              <a16:creationId xmlns:a16="http://schemas.microsoft.com/office/drawing/2014/main" id="{AA9267AC-3834-41CA-BD9B-11D5D1FED6FB}"/>
            </a:ext>
          </a:extLst>
        </xdr:cNvPr>
        <xdr:cNvGrpSpPr/>
      </xdr:nvGrpSpPr>
      <xdr:grpSpPr>
        <a:xfrm>
          <a:off x="0" y="46524"/>
          <a:ext cx="17383125" cy="290471"/>
          <a:chOff x="0" y="46494"/>
          <a:chExt cx="17306925" cy="289443"/>
        </a:xfrm>
      </xdr:grpSpPr>
      <xdr:sp macro="" textlink="">
        <xdr:nvSpPr>
          <xdr:cNvPr id="26" name="Retângulo: Cantos Superiores Arredondados 25">
            <a:extLst>
              <a:ext uri="{FF2B5EF4-FFF2-40B4-BE49-F238E27FC236}">
                <a16:creationId xmlns:a16="http://schemas.microsoft.com/office/drawing/2014/main" id="{4D458F44-6F8E-023C-CBCC-2D4DA409A85D}"/>
              </a:ext>
            </a:extLst>
          </xdr:cNvPr>
          <xdr:cNvSpPr>
            <a:spLocks/>
          </xdr:cNvSpPr>
        </xdr:nvSpPr>
        <xdr:spPr>
          <a:xfrm>
            <a:off x="0" y="47591"/>
            <a:ext cx="1804959" cy="284739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APRESENTAÇÃO</a:t>
            </a:r>
            <a:endParaRPr lang="pt-BR" sz="1100">
              <a:solidFill>
                <a:schemeClr val="bg1"/>
              </a:solidFill>
            </a:endParaRPr>
          </a:p>
        </xdr:txBody>
      </xdr:sp>
      <xdr:sp macro="" textlink="">
        <xdr:nvSpPr>
          <xdr:cNvPr id="27" name="Retângulo: Cantos Superiores Arredondados 2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2843FBF8-9BEF-88C7-5AE4-2956E24580A2}"/>
              </a:ext>
            </a:extLst>
          </xdr:cNvPr>
          <xdr:cNvSpPr>
            <a:spLocks/>
          </xdr:cNvSpPr>
        </xdr:nvSpPr>
        <xdr:spPr>
          <a:xfrm>
            <a:off x="1800929" y="47625"/>
            <a:ext cx="1799127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INFLAÇÃO</a:t>
            </a:r>
          </a:p>
        </xdr:txBody>
      </xdr:sp>
      <xdr:sp macro="" textlink="">
        <xdr:nvSpPr>
          <xdr:cNvPr id="28" name="Retângulo: Cantos Superiores Arredondados 2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C3219775-C349-2B64-A1F7-C26C710A103D}"/>
              </a:ext>
            </a:extLst>
          </xdr:cNvPr>
          <xdr:cNvSpPr>
            <a:spLocks/>
          </xdr:cNvSpPr>
        </xdr:nvSpPr>
        <xdr:spPr>
          <a:xfrm>
            <a:off x="14281722" y="48994"/>
            <a:ext cx="1799127" cy="285749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RTA 2025</a:t>
            </a:r>
            <a:endParaRPr lang="pt-BR">
              <a:effectLst/>
            </a:endParaRPr>
          </a:p>
        </xdr:txBody>
      </xdr:sp>
      <xdr:sp macro="" textlink="">
        <xdr:nvSpPr>
          <xdr:cNvPr id="29" name="Retângulo: Cantos Superiores Arredondados 2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353B58F2-ACD6-60BA-00B8-14A46E7BF93A}"/>
              </a:ext>
            </a:extLst>
          </xdr:cNvPr>
          <xdr:cNvSpPr>
            <a:spLocks/>
          </xdr:cNvSpPr>
        </xdr:nvSpPr>
        <xdr:spPr>
          <a:xfrm>
            <a:off x="10786750" y="46494"/>
            <a:ext cx="1951605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COMPONENTE FINANCEIRO - CF</a:t>
            </a:r>
          </a:p>
        </xdr:txBody>
      </xdr:sp>
      <xdr:sp macro="" textlink="">
        <xdr:nvSpPr>
          <xdr:cNvPr id="30" name="Retângulo: Cantos Superiores Arredondados 2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8C80746A-17B7-D8D4-8EC7-C6053DDC8CEE}"/>
              </a:ext>
            </a:extLst>
          </xdr:cNvPr>
          <xdr:cNvSpPr>
            <a:spLocks/>
          </xdr:cNvSpPr>
        </xdr:nvSpPr>
        <xdr:spPr>
          <a:xfrm>
            <a:off x="3596802" y="47625"/>
            <a:ext cx="180472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BÔNUS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DESCONTO</a:t>
            </a:r>
            <a:endParaRPr lang="pt-BR">
              <a:effectLst/>
            </a:endParaRPr>
          </a:p>
        </xdr:txBody>
      </xdr:sp>
      <xdr:sp macro="" textlink="">
        <xdr:nvSpPr>
          <xdr:cNvPr id="32" name="Retângulo: Cantos Superiores Arredondados 31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73248C77-C4CF-3D52-2CAA-14899B429C08}"/>
              </a:ext>
            </a:extLst>
          </xdr:cNvPr>
          <xdr:cNvSpPr>
            <a:spLocks/>
          </xdr:cNvSpPr>
        </xdr:nvSpPr>
        <xdr:spPr>
          <a:xfrm>
            <a:off x="7184140" y="47625"/>
            <a:ext cx="1820319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VPA</a:t>
            </a:r>
          </a:p>
        </xdr:txBody>
      </xdr:sp>
      <xdr:sp macro="" textlink="">
        <xdr:nvSpPr>
          <xdr:cNvPr id="33" name="Retângulo: Cantos Superiores Arredondados 3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119853B3-33AC-C1F4-66C9-CBD0904DC775}"/>
              </a:ext>
            </a:extLst>
          </xdr:cNvPr>
          <xdr:cNvSpPr>
            <a:spLocks/>
          </xdr:cNvSpPr>
        </xdr:nvSpPr>
        <xdr:spPr>
          <a:xfrm>
            <a:off x="5394829" y="47625"/>
            <a:ext cx="1799127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VOLUMES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- 2024</a:t>
            </a:r>
            <a:endParaRPr lang="pt-BR">
              <a:effectLst/>
            </a:endParaRPr>
          </a:p>
        </xdr:txBody>
      </xdr:sp>
      <xdr:sp macro="" textlink="">
        <xdr:nvSpPr>
          <xdr:cNvPr id="34" name="Retângulo: Cantos Superiores Arredondados 33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6FABDC6F-300F-46C2-C00D-3CEF90B86B2F}"/>
              </a:ext>
            </a:extLst>
          </xdr:cNvPr>
          <xdr:cNvSpPr>
            <a:spLocks/>
          </xdr:cNvSpPr>
        </xdr:nvSpPr>
        <xdr:spPr>
          <a:xfrm>
            <a:off x="16074547" y="47937"/>
            <a:ext cx="1232378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2025</a:t>
            </a:r>
            <a:endParaRPr lang="pt-BR">
              <a:effectLst/>
            </a:endParaRPr>
          </a:p>
        </xdr:txBody>
      </xdr:sp>
      <xdr:sp macro="" textlink="">
        <xdr:nvSpPr>
          <xdr:cNvPr id="35" name="Retângulo: Cantos Superiores Arredondados 34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B12F3301-EF16-C0F6-1BD9-D1BFC1D92F25}"/>
              </a:ext>
            </a:extLst>
          </xdr:cNvPr>
          <xdr:cNvSpPr>
            <a:spLocks/>
          </xdr:cNvSpPr>
        </xdr:nvSpPr>
        <xdr:spPr>
          <a:xfrm>
            <a:off x="12736994" y="47841"/>
            <a:ext cx="154964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OUTROS</a:t>
            </a:r>
            <a:r>
              <a:rPr lang="pt-BR" sz="10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CF</a:t>
            </a:r>
            <a:endParaRPr lang="pt-BR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31" name="Retângulo: Cantos Superiores Arredondados 30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B93364A7-53BA-16A3-5C44-C9120E59BE52}"/>
              </a:ext>
            </a:extLst>
          </xdr:cNvPr>
          <xdr:cNvSpPr>
            <a:spLocks/>
          </xdr:cNvSpPr>
        </xdr:nvSpPr>
        <xdr:spPr>
          <a:xfrm>
            <a:off x="8975099" y="47625"/>
            <a:ext cx="1829118" cy="288000"/>
          </a:xfrm>
          <a:prstGeom prst="round2SameRect">
            <a:avLst/>
          </a:prstGeom>
          <a:solidFill>
            <a:schemeClr val="accent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VPB</a:t>
            </a:r>
            <a:endParaRPr lang="pt-BR" sz="1100">
              <a:effectLst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8424</xdr:rowOff>
    </xdr:from>
    <xdr:to>
      <xdr:col>17</xdr:col>
      <xdr:colOff>0</xdr:colOff>
      <xdr:row>2</xdr:row>
      <xdr:rowOff>108395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97A0C5D7-F1AC-4A8B-AA6F-84A1BC09D40A}"/>
            </a:ext>
          </a:extLst>
        </xdr:cNvPr>
        <xdr:cNvGrpSpPr/>
      </xdr:nvGrpSpPr>
      <xdr:grpSpPr>
        <a:xfrm>
          <a:off x="0" y="50757"/>
          <a:ext cx="17896417" cy="290471"/>
          <a:chOff x="0" y="46494"/>
          <a:chExt cx="17306925" cy="289443"/>
        </a:xfrm>
        <a:solidFill>
          <a:schemeClr val="accent1">
            <a:lumMod val="40000"/>
            <a:lumOff val="60000"/>
          </a:schemeClr>
        </a:solidFill>
      </xdr:grpSpPr>
      <xdr:sp macro="" textlink="">
        <xdr:nvSpPr>
          <xdr:cNvPr id="3" name="Retângulo: Cantos Superiores Arredondados 2">
            <a:extLst>
              <a:ext uri="{FF2B5EF4-FFF2-40B4-BE49-F238E27FC236}">
                <a16:creationId xmlns:a16="http://schemas.microsoft.com/office/drawing/2014/main" id="{AD33FDBE-5186-FC44-D976-BDD4CBC1D4C9}"/>
              </a:ext>
            </a:extLst>
          </xdr:cNvPr>
          <xdr:cNvSpPr>
            <a:spLocks/>
          </xdr:cNvSpPr>
        </xdr:nvSpPr>
        <xdr:spPr>
          <a:xfrm>
            <a:off x="0" y="47591"/>
            <a:ext cx="1804959" cy="284739"/>
          </a:xfrm>
          <a:prstGeom prst="round2Same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APRESENTAÇÃO</a:t>
            </a:r>
            <a:endParaRPr lang="pt-BR" sz="1100">
              <a:solidFill>
                <a:schemeClr val="bg1"/>
              </a:solidFill>
            </a:endParaRPr>
          </a:p>
        </xdr:txBody>
      </xdr:sp>
      <xdr:sp macro="" textlink="">
        <xdr:nvSpPr>
          <xdr:cNvPr id="4" name="Retângulo: Cantos Superiores Arredondados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6FD9691B-C1CB-AC4E-5BB6-C7D17043429F}"/>
              </a:ext>
            </a:extLst>
          </xdr:cNvPr>
          <xdr:cNvSpPr>
            <a:spLocks/>
          </xdr:cNvSpPr>
        </xdr:nvSpPr>
        <xdr:spPr>
          <a:xfrm>
            <a:off x="1800929" y="47625"/>
            <a:ext cx="1799127" cy="288000"/>
          </a:xfrm>
          <a:prstGeom prst="round2Same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INFLAÇÃO</a:t>
            </a:r>
          </a:p>
        </xdr:txBody>
      </xdr:sp>
      <xdr:sp macro="" textlink="">
        <xdr:nvSpPr>
          <xdr:cNvPr id="5" name="Retângulo: Cantos Superiores Arredondados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F5DD9818-1A61-8415-8589-C3E712C7FE75}"/>
              </a:ext>
            </a:extLst>
          </xdr:cNvPr>
          <xdr:cNvSpPr>
            <a:spLocks/>
          </xdr:cNvSpPr>
        </xdr:nvSpPr>
        <xdr:spPr>
          <a:xfrm>
            <a:off x="14281722" y="48994"/>
            <a:ext cx="1799127" cy="285749"/>
          </a:xfrm>
          <a:prstGeom prst="round2Same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RTA 2025</a:t>
            </a:r>
            <a:endParaRPr lang="pt-BR">
              <a:effectLst/>
            </a:endParaRPr>
          </a:p>
        </xdr:txBody>
      </xdr:sp>
      <xdr:sp macro="" textlink="">
        <xdr:nvSpPr>
          <xdr:cNvPr id="6" name="Retângulo: Cantos Superiores Arredondados 5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97BE7953-FDCE-819B-05B1-5C5ACE2B6CDD}"/>
              </a:ext>
            </a:extLst>
          </xdr:cNvPr>
          <xdr:cNvSpPr>
            <a:spLocks/>
          </xdr:cNvSpPr>
        </xdr:nvSpPr>
        <xdr:spPr>
          <a:xfrm>
            <a:off x="10786750" y="46494"/>
            <a:ext cx="1951605" cy="288000"/>
          </a:xfrm>
          <a:prstGeom prst="round2Same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COMPONENTE FINANCEIRO - CF</a:t>
            </a:r>
          </a:p>
        </xdr:txBody>
      </xdr:sp>
      <xdr:sp macro="" textlink="">
        <xdr:nvSpPr>
          <xdr:cNvPr id="7" name="Retângulo: Cantos Superiores Arredondados 6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1A2A1B47-1FB1-1D21-A8FC-46429A059E8C}"/>
              </a:ext>
            </a:extLst>
          </xdr:cNvPr>
          <xdr:cNvSpPr>
            <a:spLocks/>
          </xdr:cNvSpPr>
        </xdr:nvSpPr>
        <xdr:spPr>
          <a:xfrm>
            <a:off x="3596802" y="47625"/>
            <a:ext cx="1804722" cy="288000"/>
          </a:xfrm>
          <a:prstGeom prst="round2Same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BÔNUS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DESCONTO</a:t>
            </a:r>
            <a:endParaRPr lang="pt-BR">
              <a:effectLst/>
            </a:endParaRPr>
          </a:p>
        </xdr:txBody>
      </xdr:sp>
      <xdr:sp macro="" textlink="">
        <xdr:nvSpPr>
          <xdr:cNvPr id="8" name="Retângulo: Cantos Superiores Arredondados 7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766D811D-F1A9-3C96-1C07-FE89855E0577}"/>
              </a:ext>
            </a:extLst>
          </xdr:cNvPr>
          <xdr:cNvSpPr>
            <a:spLocks/>
          </xdr:cNvSpPr>
        </xdr:nvSpPr>
        <xdr:spPr>
          <a:xfrm>
            <a:off x="8975099" y="47625"/>
            <a:ext cx="1829118" cy="288000"/>
          </a:xfrm>
          <a:prstGeom prst="round2Same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VPB</a:t>
            </a:r>
            <a:endParaRPr lang="pt-BR" sz="1100">
              <a:effectLst/>
            </a:endParaRPr>
          </a:p>
        </xdr:txBody>
      </xdr:sp>
      <xdr:sp macro="" textlink="">
        <xdr:nvSpPr>
          <xdr:cNvPr id="9" name="Retângulo: Cantos Superiores Arredondados 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8AD42DA1-F816-996E-D782-018094FAD70A}"/>
              </a:ext>
            </a:extLst>
          </xdr:cNvPr>
          <xdr:cNvSpPr>
            <a:spLocks/>
          </xdr:cNvSpPr>
        </xdr:nvSpPr>
        <xdr:spPr>
          <a:xfrm>
            <a:off x="7184140" y="47625"/>
            <a:ext cx="1820319" cy="288000"/>
          </a:xfrm>
          <a:prstGeom prst="round2Same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VPA</a:t>
            </a:r>
          </a:p>
        </xdr:txBody>
      </xdr:sp>
      <xdr:sp macro="" textlink="">
        <xdr:nvSpPr>
          <xdr:cNvPr id="10" name="Retângulo: Cantos Superiores Arredondados 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73FC76AD-57B0-C5AE-2A00-17AE778EC6A3}"/>
              </a:ext>
            </a:extLst>
          </xdr:cNvPr>
          <xdr:cNvSpPr>
            <a:spLocks/>
          </xdr:cNvSpPr>
        </xdr:nvSpPr>
        <xdr:spPr>
          <a:xfrm>
            <a:off x="5394829" y="47625"/>
            <a:ext cx="1799127" cy="288000"/>
          </a:xfrm>
          <a:prstGeom prst="round2Same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VOLUMES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- 2024</a:t>
            </a:r>
            <a:endParaRPr lang="pt-BR">
              <a:effectLst/>
            </a:endParaRPr>
          </a:p>
        </xdr:txBody>
      </xdr:sp>
      <xdr:sp macro="" textlink="">
        <xdr:nvSpPr>
          <xdr:cNvPr id="11" name="Retângulo: Cantos Superiores Arredondados 10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495D5F57-6214-FC6C-F300-1E61A88BAAF5}"/>
              </a:ext>
            </a:extLst>
          </xdr:cNvPr>
          <xdr:cNvSpPr>
            <a:spLocks/>
          </xdr:cNvSpPr>
        </xdr:nvSpPr>
        <xdr:spPr>
          <a:xfrm>
            <a:off x="16074547" y="47937"/>
            <a:ext cx="1232378" cy="288000"/>
          </a:xfrm>
          <a:prstGeom prst="round2Same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2025</a:t>
            </a:r>
            <a:endParaRPr lang="pt-BR">
              <a:effectLst/>
            </a:endParaRPr>
          </a:p>
        </xdr:txBody>
      </xdr:sp>
      <xdr:sp macro="" textlink="">
        <xdr:nvSpPr>
          <xdr:cNvPr id="12" name="Retângulo: Cantos Superiores Arredondados 11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B8C02514-E2E6-9808-ED0A-2A74FEBD165A}"/>
              </a:ext>
            </a:extLst>
          </xdr:cNvPr>
          <xdr:cNvSpPr>
            <a:spLocks/>
          </xdr:cNvSpPr>
        </xdr:nvSpPr>
        <xdr:spPr>
          <a:xfrm>
            <a:off x="12736994" y="47841"/>
            <a:ext cx="1549640" cy="288000"/>
          </a:xfrm>
          <a:prstGeom prst="round2Same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OUTROS</a:t>
            </a:r>
            <a:r>
              <a:rPr lang="pt-BR" sz="10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CF</a:t>
            </a:r>
            <a:endParaRPr lang="pt-BR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8424</xdr:rowOff>
    </xdr:from>
    <xdr:to>
      <xdr:col>20</xdr:col>
      <xdr:colOff>0</xdr:colOff>
      <xdr:row>2</xdr:row>
      <xdr:rowOff>108395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CD211442-7C19-417D-8483-AE5288608FB6}"/>
            </a:ext>
          </a:extLst>
        </xdr:cNvPr>
        <xdr:cNvGrpSpPr/>
      </xdr:nvGrpSpPr>
      <xdr:grpSpPr>
        <a:xfrm>
          <a:off x="0" y="46524"/>
          <a:ext cx="17535525" cy="290471"/>
          <a:chOff x="0" y="46494"/>
          <a:chExt cx="17306925" cy="289443"/>
        </a:xfrm>
      </xdr:grpSpPr>
      <xdr:sp macro="" textlink="">
        <xdr:nvSpPr>
          <xdr:cNvPr id="4" name="Retângulo: Cantos Superiores Arredondados 3">
            <a:extLst>
              <a:ext uri="{FF2B5EF4-FFF2-40B4-BE49-F238E27FC236}">
                <a16:creationId xmlns:a16="http://schemas.microsoft.com/office/drawing/2014/main" id="{3C70A8D8-616D-A5FF-116B-EB3C423053C1}"/>
              </a:ext>
            </a:extLst>
          </xdr:cNvPr>
          <xdr:cNvSpPr>
            <a:spLocks/>
          </xdr:cNvSpPr>
        </xdr:nvSpPr>
        <xdr:spPr>
          <a:xfrm>
            <a:off x="0" y="47591"/>
            <a:ext cx="1804959" cy="284739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APRESENTAÇÃO</a:t>
            </a:r>
            <a:endParaRPr lang="pt-BR" sz="1100">
              <a:solidFill>
                <a:schemeClr val="bg1"/>
              </a:solidFill>
            </a:endParaRPr>
          </a:p>
        </xdr:txBody>
      </xdr:sp>
      <xdr:sp macro="" textlink="">
        <xdr:nvSpPr>
          <xdr:cNvPr id="5" name="Retângulo: Cantos Superiores Arredondados 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B0E9683D-AA0E-8F8D-2CCA-D7E2F2FDB1B9}"/>
              </a:ext>
            </a:extLst>
          </xdr:cNvPr>
          <xdr:cNvSpPr>
            <a:spLocks/>
          </xdr:cNvSpPr>
        </xdr:nvSpPr>
        <xdr:spPr>
          <a:xfrm>
            <a:off x="1800929" y="47625"/>
            <a:ext cx="1799127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INFLAÇÃO</a:t>
            </a:r>
          </a:p>
        </xdr:txBody>
      </xdr:sp>
      <xdr:sp macro="" textlink="">
        <xdr:nvSpPr>
          <xdr:cNvPr id="6" name="Retângulo: Cantos Superiores Arredondados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84B71E14-FE14-B736-CFA0-2BD39BB356D6}"/>
              </a:ext>
            </a:extLst>
          </xdr:cNvPr>
          <xdr:cNvSpPr>
            <a:spLocks/>
          </xdr:cNvSpPr>
        </xdr:nvSpPr>
        <xdr:spPr>
          <a:xfrm>
            <a:off x="14281722" y="48994"/>
            <a:ext cx="1799127" cy="285749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RTA 2025</a:t>
            </a:r>
            <a:endParaRPr lang="pt-BR">
              <a:effectLst/>
            </a:endParaRPr>
          </a:p>
        </xdr:txBody>
      </xdr:sp>
      <xdr:sp macro="" textlink="">
        <xdr:nvSpPr>
          <xdr:cNvPr id="7" name="Retângulo: Cantos Superiores Arredondados 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BD841BB0-D3CB-2C44-601E-7EEAFAF65346}"/>
              </a:ext>
            </a:extLst>
          </xdr:cNvPr>
          <xdr:cNvSpPr>
            <a:spLocks/>
          </xdr:cNvSpPr>
        </xdr:nvSpPr>
        <xdr:spPr>
          <a:xfrm>
            <a:off x="10786750" y="46494"/>
            <a:ext cx="1951605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COMPONENTE FINANCEIRO - CF</a:t>
            </a:r>
          </a:p>
        </xdr:txBody>
      </xdr:sp>
      <xdr:sp macro="" textlink="">
        <xdr:nvSpPr>
          <xdr:cNvPr id="8" name="Retângulo: Cantos Superiores Arredondados 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A60D0848-E695-AD6E-80DA-C60581B8F6C0}"/>
              </a:ext>
            </a:extLst>
          </xdr:cNvPr>
          <xdr:cNvSpPr>
            <a:spLocks/>
          </xdr:cNvSpPr>
        </xdr:nvSpPr>
        <xdr:spPr>
          <a:xfrm>
            <a:off x="3596802" y="47625"/>
            <a:ext cx="180472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BÔNUS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DESCONTO</a:t>
            </a:r>
            <a:endParaRPr lang="pt-BR">
              <a:effectLst/>
            </a:endParaRPr>
          </a:p>
        </xdr:txBody>
      </xdr:sp>
      <xdr:sp macro="" textlink="">
        <xdr:nvSpPr>
          <xdr:cNvPr id="9" name="Retângulo: Cantos Superiores Arredondados 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1E3DFE54-8843-064D-965F-85D900610C5D}"/>
              </a:ext>
            </a:extLst>
          </xdr:cNvPr>
          <xdr:cNvSpPr>
            <a:spLocks/>
          </xdr:cNvSpPr>
        </xdr:nvSpPr>
        <xdr:spPr>
          <a:xfrm>
            <a:off x="8975099" y="47625"/>
            <a:ext cx="1829118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VPB</a:t>
            </a:r>
            <a:endParaRPr lang="pt-BR" sz="1100">
              <a:effectLst/>
            </a:endParaRPr>
          </a:p>
        </xdr:txBody>
      </xdr:sp>
      <xdr:sp macro="" textlink="">
        <xdr:nvSpPr>
          <xdr:cNvPr id="10" name="Retângulo: Cantos Superiores Arredondados 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E0FBA51D-6AFC-E188-799D-FE39F2E505E1}"/>
              </a:ext>
            </a:extLst>
          </xdr:cNvPr>
          <xdr:cNvSpPr>
            <a:spLocks/>
          </xdr:cNvSpPr>
        </xdr:nvSpPr>
        <xdr:spPr>
          <a:xfrm>
            <a:off x="7184140" y="47625"/>
            <a:ext cx="1820319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VPA</a:t>
            </a:r>
          </a:p>
        </xdr:txBody>
      </xdr:sp>
      <xdr:sp macro="" textlink="">
        <xdr:nvSpPr>
          <xdr:cNvPr id="11" name="Retângulo: Cantos Superiores Arredondados 1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C83D4D39-50AA-ACAB-F64B-30072F71AFCD}"/>
              </a:ext>
            </a:extLst>
          </xdr:cNvPr>
          <xdr:cNvSpPr>
            <a:spLocks/>
          </xdr:cNvSpPr>
        </xdr:nvSpPr>
        <xdr:spPr>
          <a:xfrm>
            <a:off x="5394829" y="47625"/>
            <a:ext cx="1799127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VOLUMES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- 2024</a:t>
            </a:r>
            <a:endParaRPr lang="pt-BR">
              <a:effectLst/>
            </a:endParaRPr>
          </a:p>
        </xdr:txBody>
      </xdr:sp>
      <xdr:sp macro="" textlink="">
        <xdr:nvSpPr>
          <xdr:cNvPr id="12" name="Retângulo: Cantos Superiores Arredondados 1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4664AA45-0B13-D2A3-78DC-514E41A46DD7}"/>
              </a:ext>
            </a:extLst>
          </xdr:cNvPr>
          <xdr:cNvSpPr>
            <a:spLocks/>
          </xdr:cNvSpPr>
        </xdr:nvSpPr>
        <xdr:spPr>
          <a:xfrm>
            <a:off x="16074547" y="47937"/>
            <a:ext cx="1232378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2025</a:t>
            </a:r>
            <a:endParaRPr lang="pt-BR">
              <a:effectLst/>
            </a:endParaRPr>
          </a:p>
        </xdr:txBody>
      </xdr:sp>
      <xdr:sp macro="" textlink="">
        <xdr:nvSpPr>
          <xdr:cNvPr id="13" name="Retângulo: Cantos Superiores Arredondados 1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A8DA75D0-D0CE-22FF-9C54-F3C20862F114}"/>
              </a:ext>
            </a:extLst>
          </xdr:cNvPr>
          <xdr:cNvSpPr>
            <a:spLocks/>
          </xdr:cNvSpPr>
        </xdr:nvSpPr>
        <xdr:spPr>
          <a:xfrm>
            <a:off x="12736994" y="47841"/>
            <a:ext cx="1549640" cy="288000"/>
          </a:xfrm>
          <a:prstGeom prst="round2SameRect">
            <a:avLst/>
          </a:prstGeom>
          <a:solidFill>
            <a:schemeClr val="accent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OUTROS</a:t>
            </a:r>
            <a:r>
              <a:rPr lang="pt-BR" sz="10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CF</a:t>
            </a:r>
            <a:endParaRPr lang="pt-BR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spfs04\WORKFA\lydiane\ME\ADASA\AP\MODELO_ER_-_ADASA_xv_1.1x_-_AP_001-2008\(BASE)%20EMPRESA%20REFERENCIA%20-%20ANEEL%20-%20CEB%20AP%20-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rspfs04\WORKFA\Users\Valuation%20Group\Business%20Valuation\SERVI&#199;OS\Regula&#231;&#227;o%20Econ&#244;mica\2.%20Projetos\2015\ADASA\6.%20Pesquisas%20DTT\0.%20ADASA%20-%20Planilhas\NT%20005-2010\MODELO_Custos%20Operacionais%20Eficientes%20-%20NT%20005-2010%20-%20Pos-AP001%20-%202010.xls?69D9A924" TargetMode="External"/><Relationship Id="rId1" Type="http://schemas.openxmlformats.org/officeDocument/2006/relationships/externalLinkPath" Target="file:///\\69D9A924\MODELO_Custos%20Operacionais%20Eficientes%20-%20NT%20005-2010%20-%20Pos-AP001%20-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spfs\WORKFA\Users\Valuation%20Group\Business%20Valuation\SERVI&#199;OS\Regula&#231;&#227;o%20Econ&#244;mica\2.%20Projetos\2014\Agesan\2.%20Execu&#231;&#227;o\Entrega%202%20-%20Diagn&#243;stico%20da%20Situa&#231;&#227;o%20atual\Item%20V\Lages\DRE%20Hist&#243;rica_Lag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spfs01\WORKFAS\FAS\Clientes%202008\Henkel\WACC\WACC_junho_2008%20Ajustada_Henkel_v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spbcfs\workfas\Users\CORPORA\Staff\Fernanda%20Sodr&#233;\Tr&#243;pico\Wacc%20VoiP%20Novembro_2004%20fernan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INEL DE CONTROLE"/>
      <sheetName val="Parâmetros"/>
      <sheetName val="Consumidores"/>
      <sheetName val="Dados Físicos"/>
      <sheetName val="Custos Adicionais"/>
      <sheetName val="EmpresasDadosGerais"/>
      <sheetName val="Índices"/>
      <sheetName val="Custo Mat de Tarefas"/>
      <sheetName val="Custos EPC-EPI"/>
      <sheetName val="Custo Equipe"/>
      <sheetName val="Custos de Veículo"/>
      <sheetName val="Administração e Sistemas"/>
      <sheetName val="Salarios"/>
      <sheetName val="Cluster1"/>
      <sheetName val="Cluster2"/>
      <sheetName val="Cluster3"/>
      <sheetName val="Cluster4"/>
      <sheetName val="Cluster5"/>
      <sheetName val="Cluster6"/>
      <sheetName val="Cluster7"/>
      <sheetName val="Cluster8"/>
      <sheetName val="Cluster9"/>
      <sheetName val="Cluster10"/>
      <sheetName val="Gastos Gerencias Regionais"/>
      <sheetName val="Tarefas Comerciais"/>
      <sheetName val="Tarefas de O&amp;M"/>
      <sheetName val="Gastos Sistemas Computacionais"/>
      <sheetName val="Plan1"/>
      <sheetName val="Faturamento"/>
      <sheetName val="Perdas velha"/>
      <sheetName val="Perdas Nao Técnicas"/>
      <sheetName val="Teleatendimentovelho"/>
      <sheetName val="Teleatendimento"/>
      <sheetName val="Relatorio 1"/>
      <sheetName val="Relatorio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e"/>
      <sheetName val="P-Indices"/>
      <sheetName val="P-Salarios"/>
      <sheetName val="P-Equipes"/>
      <sheetName val="P-Veiculos"/>
      <sheetName val="E-Estrutura"/>
      <sheetName val="E-AdmSist"/>
      <sheetName val="E-ETA-ETE"/>
      <sheetName val="E-Elevatorias"/>
      <sheetName val="E-Comercial"/>
      <sheetName val="E-Economias"/>
      <sheetName val="E-Fisicos-Agua (Cap)"/>
      <sheetName val="E-Fisicos-Agua (ETA)"/>
      <sheetName val="E-Fisicos-Agua (Dist)"/>
      <sheetName val="E-Fisicos-Esgoto (Col)"/>
      <sheetName val="E-Fisicos-Esgoto (ETE)"/>
      <sheetName val="E-Fisicos-Esgoto (Emi)"/>
      <sheetName val="E-Adicionais"/>
      <sheetName val="C-Sistemas"/>
      <sheetName val="C-EstCentral"/>
      <sheetName val="C-Regional"/>
      <sheetName val="C-Elevatorias"/>
      <sheetName val="C-ETA-ETE Adm"/>
      <sheetName val="C-ETA-ETE Insumos"/>
      <sheetName val="C-EscritCom"/>
      <sheetName val="C-Faturamento"/>
      <sheetName val="C-Teleatendimento"/>
      <sheetName val="C-O&amp;M-Agua (Cap)"/>
      <sheetName val="C-O&amp;M-Agua (ETA)"/>
      <sheetName val="C-O&amp;M-Agua (Dist)"/>
      <sheetName val="C-O&amp;M-Esgoto (Col)"/>
      <sheetName val="C-O&amp;M-Esgoto (ETE)"/>
      <sheetName val="C-O&amp;M-Esgoto (Emi)"/>
      <sheetName val="S-Geral"/>
      <sheetName val="S-Sistemas"/>
      <sheetName val="S-EstCentral"/>
      <sheetName val="S-Regional"/>
      <sheetName val="S-Elevatorias"/>
      <sheetName val="S-ETA-ETE"/>
      <sheetName val="S-EscritCom"/>
      <sheetName val="S-Faturamento"/>
      <sheetName val="S-Teleatendimento"/>
      <sheetName val="S-O&amp;M Gasto"/>
      <sheetName val="S-O&amp;M Qtdes"/>
      <sheetName val="S-CustSistema"/>
    </sheetNames>
    <sheetDataSet>
      <sheetData sheetId="0">
        <row r="9">
          <cell r="D9">
            <v>0.12106060606060608</v>
          </cell>
        </row>
        <row r="12">
          <cell r="D12">
            <v>2.1985163471443414E-2</v>
          </cell>
        </row>
        <row r="13">
          <cell r="D13">
            <v>-1.1395249954443298E-2</v>
          </cell>
        </row>
        <row r="15">
          <cell r="D15">
            <v>-4.1405391204552E-2</v>
          </cell>
        </row>
        <row r="16">
          <cell r="D16">
            <v>-6.7652311243394214E-2</v>
          </cell>
        </row>
      </sheetData>
      <sheetData sheetId="1">
        <row r="9">
          <cell r="D9">
            <v>0.28999999999999998</v>
          </cell>
        </row>
        <row r="10">
          <cell r="D10">
            <v>0.08</v>
          </cell>
        </row>
        <row r="11">
          <cell r="D11">
            <v>415</v>
          </cell>
        </row>
        <row r="12">
          <cell r="D12">
            <v>8.3333333333333329E-2</v>
          </cell>
        </row>
        <row r="13">
          <cell r="D13">
            <v>2.7777777777777776E-2</v>
          </cell>
        </row>
        <row r="15">
          <cell r="D15">
            <v>0.1</v>
          </cell>
        </row>
        <row r="16">
          <cell r="D16">
            <v>0.2</v>
          </cell>
        </row>
        <row r="17">
          <cell r="D17">
            <v>0.4</v>
          </cell>
        </row>
        <row r="18">
          <cell r="D18">
            <v>1.4999999999999999E-2</v>
          </cell>
        </row>
        <row r="19">
          <cell r="D19">
            <v>0</v>
          </cell>
        </row>
        <row r="20">
          <cell r="D20">
            <v>0.2</v>
          </cell>
        </row>
        <row r="21">
          <cell r="D21">
            <v>0</v>
          </cell>
        </row>
        <row r="22">
          <cell r="D22">
            <v>7.5</v>
          </cell>
        </row>
        <row r="23">
          <cell r="D23">
            <v>6</v>
          </cell>
        </row>
        <row r="24">
          <cell r="D24">
            <v>5</v>
          </cell>
        </row>
        <row r="25">
          <cell r="D25">
            <v>20</v>
          </cell>
        </row>
        <row r="26">
          <cell r="D26">
            <v>46</v>
          </cell>
        </row>
        <row r="27">
          <cell r="D27">
            <v>50</v>
          </cell>
        </row>
        <row r="28">
          <cell r="D28">
            <v>12</v>
          </cell>
        </row>
      </sheetData>
      <sheetData sheetId="2">
        <row r="9">
          <cell r="C9" t="str">
            <v>PRESIDENTE</v>
          </cell>
          <cell r="E9">
            <v>22456.841666666671</v>
          </cell>
          <cell r="F9">
            <v>22950.559001760659</v>
          </cell>
          <cell r="G9">
            <v>275406.70802112791</v>
          </cell>
          <cell r="L9">
            <v>22950.559001760659</v>
          </cell>
          <cell r="M9">
            <v>7650.1863339202191</v>
          </cell>
          <cell r="N9">
            <v>88742.161473474553</v>
          </cell>
          <cell r="O9">
            <v>24480.596268544705</v>
          </cell>
          <cell r="P9">
            <v>4131.1006203169181</v>
          </cell>
          <cell r="Q9">
            <v>55081.341604225585</v>
          </cell>
          <cell r="R9">
            <v>0</v>
          </cell>
          <cell r="S9">
            <v>203035.94530224265</v>
          </cell>
          <cell r="T9">
            <v>478442.65332337056</v>
          </cell>
          <cell r="U9">
            <v>39870.22111028088</v>
          </cell>
          <cell r="V9">
            <v>277.3580598976061</v>
          </cell>
        </row>
        <row r="10">
          <cell r="C10" t="str">
            <v>DIRETOR</v>
          </cell>
          <cell r="E10">
            <v>20204.134999999998</v>
          </cell>
          <cell r="F10">
            <v>20648.32621077411</v>
          </cell>
          <cell r="G10">
            <v>247779.91452928932</v>
          </cell>
          <cell r="L10">
            <v>20648.32621077411</v>
          </cell>
          <cell r="M10">
            <v>6882.7754035913695</v>
          </cell>
          <cell r="N10">
            <v>79840.194681659894</v>
          </cell>
          <cell r="O10">
            <v>22024.881291492387</v>
          </cell>
          <cell r="P10">
            <v>3716.6987179393395</v>
          </cell>
          <cell r="Q10">
            <v>49555.982905857869</v>
          </cell>
          <cell r="R10">
            <v>0</v>
          </cell>
          <cell r="S10">
            <v>182668.85921131496</v>
          </cell>
          <cell r="T10">
            <v>430448.77374060429</v>
          </cell>
          <cell r="U10">
            <v>35870.731145050355</v>
          </cell>
          <cell r="V10">
            <v>249.53552100904597</v>
          </cell>
        </row>
        <row r="11">
          <cell r="C11" t="str">
            <v>AN.SUPORTE A-V</v>
          </cell>
          <cell r="E11">
            <v>14056.206458333332</v>
          </cell>
          <cell r="F11">
            <v>14365.23445510815</v>
          </cell>
          <cell r="G11">
            <v>172382.8134612978</v>
          </cell>
          <cell r="L11">
            <v>14365.23445510815</v>
          </cell>
          <cell r="M11">
            <v>4788.4114850360502</v>
          </cell>
          <cell r="N11">
            <v>55545.573226418179</v>
          </cell>
          <cell r="O11">
            <v>15322.916752115359</v>
          </cell>
          <cell r="P11">
            <v>2585.7422019194669</v>
          </cell>
          <cell r="Q11">
            <v>34476.562692259562</v>
          </cell>
          <cell r="R11">
            <v>0</v>
          </cell>
          <cell r="S11">
            <v>127084.44081285677</v>
          </cell>
          <cell r="T11">
            <v>299467.25427415455</v>
          </cell>
          <cell r="U11">
            <v>24955.604522846214</v>
          </cell>
          <cell r="V11">
            <v>173.60420537632149</v>
          </cell>
        </row>
        <row r="12">
          <cell r="C12" t="str">
            <v>ANAL.OPERAC. IV</v>
          </cell>
          <cell r="E12">
            <v>12310.005869565217</v>
          </cell>
          <cell r="F12">
            <v>12580.643360942036</v>
          </cell>
          <cell r="G12">
            <v>150967.72033130444</v>
          </cell>
          <cell r="L12">
            <v>12580.643360942036</v>
          </cell>
          <cell r="M12">
            <v>4193.5477869806791</v>
          </cell>
          <cell r="N12">
            <v>48645.154328975877</v>
          </cell>
          <cell r="O12">
            <v>13419.352918338176</v>
          </cell>
          <cell r="P12">
            <v>2264.5158049695665</v>
          </cell>
          <cell r="Q12">
            <v>30193.544066260889</v>
          </cell>
          <cell r="R12">
            <v>0</v>
          </cell>
          <cell r="S12">
            <v>111296.75826646722</v>
          </cell>
          <cell r="T12">
            <v>262264.47859777167</v>
          </cell>
          <cell r="U12">
            <v>21855.373216480973</v>
          </cell>
          <cell r="V12">
            <v>152.03737889725895</v>
          </cell>
        </row>
        <row r="13">
          <cell r="C13" t="str">
            <v>AN.SUPORTE A-IV</v>
          </cell>
          <cell r="E13">
            <v>11291.15836666667</v>
          </cell>
          <cell r="F13">
            <v>11539.396329139792</v>
          </cell>
          <cell r="G13">
            <v>138472.75594967749</v>
          </cell>
          <cell r="L13">
            <v>11539.39632913979</v>
          </cell>
          <cell r="M13">
            <v>3846.4654430465966</v>
          </cell>
          <cell r="N13">
            <v>44618.999139340522</v>
          </cell>
          <cell r="O13">
            <v>12308.68941774911</v>
          </cell>
          <cell r="P13">
            <v>2077.0913392451621</v>
          </cell>
          <cell r="Q13">
            <v>27694.551189935501</v>
          </cell>
          <cell r="R13">
            <v>0</v>
          </cell>
          <cell r="S13">
            <v>102085.19285845668</v>
          </cell>
          <cell r="T13">
            <v>240557.94880813418</v>
          </cell>
          <cell r="U13">
            <v>20046.495734011183</v>
          </cell>
          <cell r="V13">
            <v>139.45388336703431</v>
          </cell>
        </row>
        <row r="14">
          <cell r="C14" t="str">
            <v>AN.SUPORTE A-III</v>
          </cell>
          <cell r="E14">
            <v>10932.878888888888</v>
          </cell>
          <cell r="F14">
            <v>11173.240018474604</v>
          </cell>
          <cell r="G14">
            <v>134078.88022169523</v>
          </cell>
          <cell r="L14">
            <v>11173.240018474602</v>
          </cell>
          <cell r="M14">
            <v>3724.4133394915339</v>
          </cell>
          <cell r="N14">
            <v>43203.194738101796</v>
          </cell>
          <cell r="O14">
            <v>11918.12268637291</v>
          </cell>
          <cell r="P14">
            <v>2011.1832033254284</v>
          </cell>
          <cell r="Q14">
            <v>26815.776044339047</v>
          </cell>
          <cell r="R14">
            <v>0</v>
          </cell>
          <cell r="S14">
            <v>98845.930030105315</v>
          </cell>
          <cell r="T14">
            <v>232924.81025180055</v>
          </cell>
          <cell r="U14">
            <v>19410.400854316711</v>
          </cell>
          <cell r="V14">
            <v>135.02887550829018</v>
          </cell>
        </row>
        <row r="15">
          <cell r="C15" t="str">
            <v>ANAL.OPERAC. III</v>
          </cell>
          <cell r="E15">
            <v>9956.3983854166672</v>
          </cell>
          <cell r="F15">
            <v>10175.291431506868</v>
          </cell>
          <cell r="G15">
            <v>122103.49717808241</v>
          </cell>
          <cell r="I15">
            <v>498</v>
          </cell>
          <cell r="L15">
            <v>10216.791431506867</v>
          </cell>
          <cell r="M15">
            <v>3405.5971438356223</v>
          </cell>
          <cell r="N15">
            <v>39504.926868493218</v>
          </cell>
          <cell r="O15">
            <v>10897.910860273993</v>
          </cell>
          <cell r="P15">
            <v>1831.5524576712362</v>
          </cell>
          <cell r="Q15">
            <v>24420.699435616483</v>
          </cell>
          <cell r="R15">
            <v>0</v>
          </cell>
          <cell r="S15">
            <v>90775.478197397417</v>
          </cell>
          <cell r="T15">
            <v>212878.97537547984</v>
          </cell>
          <cell r="U15">
            <v>17739.914614623322</v>
          </cell>
          <cell r="V15">
            <v>123.40810166694483</v>
          </cell>
        </row>
        <row r="16">
          <cell r="C16" t="str">
            <v>AN.SUPORTE B-III</v>
          </cell>
          <cell r="E16">
            <v>8422.9791666666661</v>
          </cell>
          <cell r="F16">
            <v>8608.1597405623943</v>
          </cell>
          <cell r="G16">
            <v>103297.91688674873</v>
          </cell>
          <cell r="L16">
            <v>8608.1597405623943</v>
          </cell>
          <cell r="M16">
            <v>2869.3865801874645</v>
          </cell>
          <cell r="N16">
            <v>33284.884330174587</v>
          </cell>
          <cell r="O16">
            <v>9182.0370565998874</v>
          </cell>
          <cell r="P16">
            <v>1549.4687533012309</v>
          </cell>
          <cell r="Q16">
            <v>20659.583377349747</v>
          </cell>
          <cell r="R16">
            <v>0</v>
          </cell>
          <cell r="S16">
            <v>76153.519838175314</v>
          </cell>
          <cell r="T16">
            <v>179451.43672492405</v>
          </cell>
          <cell r="U16">
            <v>14954.28639374367</v>
          </cell>
          <cell r="V16">
            <v>104.02981839126032</v>
          </cell>
        </row>
        <row r="17">
          <cell r="C17" t="str">
            <v>ANAL.OPERAC. II</v>
          </cell>
          <cell r="E17">
            <v>7928.1062847222238</v>
          </cell>
          <cell r="F17">
            <v>8102.4069974108197</v>
          </cell>
          <cell r="G17">
            <v>97228.883968929833</v>
          </cell>
          <cell r="I17">
            <v>498</v>
          </cell>
          <cell r="L17">
            <v>8143.9069974108188</v>
          </cell>
          <cell r="M17">
            <v>2714.6356658036061</v>
          </cell>
          <cell r="N17">
            <v>31489.773723321832</v>
          </cell>
          <cell r="O17">
            <v>8686.8341305715403</v>
          </cell>
          <cell r="P17">
            <v>1458.4332595339474</v>
          </cell>
          <cell r="Q17">
            <v>19445.776793785968</v>
          </cell>
          <cell r="R17">
            <v>0</v>
          </cell>
          <cell r="S17">
            <v>72437.360570427729</v>
          </cell>
          <cell r="T17">
            <v>169666.24453935755</v>
          </cell>
          <cell r="U17">
            <v>14138.853711613128</v>
          </cell>
          <cell r="V17">
            <v>98.357243211221771</v>
          </cell>
        </row>
        <row r="18">
          <cell r="C18" t="str">
            <v>AN.SUPORTE A-II</v>
          </cell>
          <cell r="E18">
            <v>6613.185625000001</v>
          </cell>
          <cell r="F18">
            <v>6758.5775920326259</v>
          </cell>
          <cell r="G18">
            <v>81102.931104391508</v>
          </cell>
          <cell r="L18">
            <v>6758.577592032625</v>
          </cell>
          <cell r="M18">
            <v>2252.8591973442085</v>
          </cell>
          <cell r="N18">
            <v>26133.166689192818</v>
          </cell>
          <cell r="O18">
            <v>7209.1494315014679</v>
          </cell>
          <cell r="P18">
            <v>1216.5439665658726</v>
          </cell>
          <cell r="Q18">
            <v>16220.586220878302</v>
          </cell>
          <cell r="R18">
            <v>0</v>
          </cell>
          <cell r="S18">
            <v>59790.883097515296</v>
          </cell>
          <cell r="T18">
            <v>140893.81420190679</v>
          </cell>
          <cell r="U18">
            <v>11741.151183492233</v>
          </cell>
          <cell r="V18">
            <v>81.677573450380748</v>
          </cell>
        </row>
        <row r="19">
          <cell r="C19" t="str">
            <v>TEC.CONTAB. II</v>
          </cell>
          <cell r="E19">
            <v>6534.2722916666671</v>
          </cell>
          <cell r="F19">
            <v>6677.929336165882</v>
          </cell>
          <cell r="G19">
            <v>80135.152033990584</v>
          </cell>
          <cell r="L19">
            <v>6677.929336165882</v>
          </cell>
          <cell r="M19">
            <v>2225.9764453886273</v>
          </cell>
          <cell r="N19">
            <v>25821.326766508075</v>
          </cell>
          <cell r="O19">
            <v>7123.1246252436076</v>
          </cell>
          <cell r="P19">
            <v>1202.0272805098587</v>
          </cell>
          <cell r="Q19">
            <v>16027.030406798118</v>
          </cell>
          <cell r="R19">
            <v>0</v>
          </cell>
          <cell r="S19">
            <v>59077.414860614175</v>
          </cell>
          <cell r="T19">
            <v>139212.56689460477</v>
          </cell>
          <cell r="U19">
            <v>11601.047241217064</v>
          </cell>
          <cell r="V19">
            <v>80.702937330205657</v>
          </cell>
        </row>
        <row r="20">
          <cell r="C20" t="str">
            <v>TEC.OPERAC. IV</v>
          </cell>
          <cell r="E20">
            <v>6300.295196078433</v>
          </cell>
          <cell r="F20">
            <v>6438.8082158825673</v>
          </cell>
          <cell r="G20">
            <v>77265.698590590808</v>
          </cell>
          <cell r="L20">
            <v>6438.8082158825673</v>
          </cell>
          <cell r="M20">
            <v>2146.2694052941888</v>
          </cell>
          <cell r="N20">
            <v>24896.725101412594</v>
          </cell>
          <cell r="O20">
            <v>6868.0620969414058</v>
          </cell>
          <cell r="P20">
            <v>1158.9854788588621</v>
          </cell>
          <cell r="Q20">
            <v>15453.139718118162</v>
          </cell>
          <cell r="R20">
            <v>0</v>
          </cell>
          <cell r="S20">
            <v>56961.990016507778</v>
          </cell>
          <cell r="T20">
            <v>134227.68860709859</v>
          </cell>
          <cell r="U20">
            <v>11185.640717258217</v>
          </cell>
          <cell r="V20">
            <v>77.81315281570933</v>
          </cell>
        </row>
        <row r="21">
          <cell r="C21" t="str">
            <v>TEC.CONTAB. III</v>
          </cell>
          <cell r="E21">
            <v>6095.7141666666676</v>
          </cell>
          <cell r="F21">
            <v>6229.7294390960278</v>
          </cell>
          <cell r="G21">
            <v>74756.753269152337</v>
          </cell>
          <cell r="L21">
            <v>6229.7294390960278</v>
          </cell>
          <cell r="M21">
            <v>2076.5764796986759</v>
          </cell>
          <cell r="N21">
            <v>24088.28716450464</v>
          </cell>
          <cell r="O21">
            <v>6645.0447350357636</v>
          </cell>
          <cell r="P21">
            <v>1121.3512990372851</v>
          </cell>
          <cell r="Q21">
            <v>14951.350653830468</v>
          </cell>
          <cell r="R21">
            <v>0</v>
          </cell>
          <cell r="S21">
            <v>55112.339771202853</v>
          </cell>
          <cell r="T21">
            <v>129869.09304035519</v>
          </cell>
          <cell r="U21">
            <v>10822.4244200296</v>
          </cell>
          <cell r="V21">
            <v>75.286430748031989</v>
          </cell>
        </row>
        <row r="22">
          <cell r="C22" t="str">
            <v>TEC.SEG.TRAB.III</v>
          </cell>
          <cell r="E22">
            <v>5847.2177083333336</v>
          </cell>
          <cell r="F22">
            <v>5975.7697455041607</v>
          </cell>
          <cell r="G22">
            <v>71709.236946049932</v>
          </cell>
          <cell r="L22">
            <v>5975.7697455041607</v>
          </cell>
          <cell r="M22">
            <v>1991.923248501387</v>
          </cell>
          <cell r="N22">
            <v>23106.309682616091</v>
          </cell>
          <cell r="O22">
            <v>6374.1543952044394</v>
          </cell>
          <cell r="P22">
            <v>1075.6385541907489</v>
          </cell>
          <cell r="Q22">
            <v>14341.847389209986</v>
          </cell>
          <cell r="R22">
            <v>0</v>
          </cell>
          <cell r="S22">
            <v>52865.643015226815</v>
          </cell>
          <cell r="T22">
            <v>124574.87996127675</v>
          </cell>
          <cell r="U22">
            <v>10381.239996773062</v>
          </cell>
          <cell r="V22">
            <v>72.217321716682179</v>
          </cell>
        </row>
        <row r="23">
          <cell r="C23" t="str">
            <v>TEC.SECRET. III</v>
          </cell>
          <cell r="E23">
            <v>5695.6366666666663</v>
          </cell>
          <cell r="F23">
            <v>5820.8561698572803</v>
          </cell>
          <cell r="G23">
            <v>69850.27403828736</v>
          </cell>
          <cell r="L23">
            <v>5820.8561698572794</v>
          </cell>
          <cell r="M23">
            <v>1940.2853899524266</v>
          </cell>
          <cell r="N23">
            <v>22507.310523448145</v>
          </cell>
          <cell r="O23">
            <v>6208.9132478477641</v>
          </cell>
          <cell r="P23">
            <v>1047.7541105743103</v>
          </cell>
          <cell r="Q23">
            <v>13970.054807657472</v>
          </cell>
          <cell r="R23">
            <v>0</v>
          </cell>
          <cell r="S23">
            <v>51495.174249337389</v>
          </cell>
          <cell r="T23">
            <v>121345.44828762475</v>
          </cell>
          <cell r="U23">
            <v>10112.120690635396</v>
          </cell>
          <cell r="V23">
            <v>70.345187413115795</v>
          </cell>
        </row>
        <row r="24">
          <cell r="C24" t="str">
            <v>ASSESSOR</v>
          </cell>
          <cell r="E24">
            <v>5286.5783914728681</v>
          </cell>
          <cell r="F24">
            <v>5402.8046816139995</v>
          </cell>
          <cell r="G24">
            <v>64833.656179367994</v>
          </cell>
          <cell r="L24">
            <v>5402.8046816139995</v>
          </cell>
          <cell r="M24">
            <v>1800.9348938713331</v>
          </cell>
          <cell r="N24">
            <v>20890.844768907467</v>
          </cell>
          <cell r="O24">
            <v>5762.9916603882666</v>
          </cell>
          <cell r="P24">
            <v>972.50484269051992</v>
          </cell>
          <cell r="Q24">
            <v>12966.7312358736</v>
          </cell>
          <cell r="R24">
            <v>0</v>
          </cell>
          <cell r="S24">
            <v>47796.812083345183</v>
          </cell>
          <cell r="T24">
            <v>112630.46826271317</v>
          </cell>
          <cell r="U24">
            <v>9385.8723552260981</v>
          </cell>
          <cell r="V24">
            <v>65.293025079833725</v>
          </cell>
        </row>
        <row r="25">
          <cell r="C25" t="str">
            <v>TEC.OPERAC. VI</v>
          </cell>
          <cell r="E25">
            <v>5244.7441666666664</v>
          </cell>
          <cell r="F25">
            <v>5360.0507245367326</v>
          </cell>
          <cell r="G25">
            <v>64320.608694440787</v>
          </cell>
          <cell r="L25">
            <v>5360.0507245367317</v>
          </cell>
          <cell r="M25">
            <v>1786.6835748455774</v>
          </cell>
          <cell r="N25">
            <v>20725.529468208697</v>
          </cell>
          <cell r="O25">
            <v>5717.3874395058483</v>
          </cell>
          <cell r="P25">
            <v>964.80913041661177</v>
          </cell>
          <cell r="Q25">
            <v>12864.121738888158</v>
          </cell>
          <cell r="R25">
            <v>0</v>
          </cell>
          <cell r="S25">
            <v>47418.582076401624</v>
          </cell>
          <cell r="T25">
            <v>111739.19077084241</v>
          </cell>
          <cell r="U25">
            <v>9311.5992309035337</v>
          </cell>
          <cell r="V25">
            <v>64.776342475850669</v>
          </cell>
        </row>
        <row r="26">
          <cell r="C26" t="str">
            <v>TEC.OPERAC. III</v>
          </cell>
          <cell r="E26">
            <v>5176.5381147540984</v>
          </cell>
          <cell r="F26">
            <v>5290.3451514231247</v>
          </cell>
          <cell r="G26">
            <v>63484.1418170775</v>
          </cell>
          <cell r="L26">
            <v>5290.3451514231247</v>
          </cell>
          <cell r="M26">
            <v>1763.4483838077083</v>
          </cell>
          <cell r="N26">
            <v>20456.001252169419</v>
          </cell>
          <cell r="O26">
            <v>5643.0348281846673</v>
          </cell>
          <cell r="P26">
            <v>952.26212725616244</v>
          </cell>
          <cell r="Q26">
            <v>12696.828363415501</v>
          </cell>
          <cell r="R26">
            <v>0</v>
          </cell>
          <cell r="S26">
            <v>46801.920106256584</v>
          </cell>
          <cell r="T26">
            <v>110286.06192333408</v>
          </cell>
          <cell r="U26">
            <v>9190.5051602778403</v>
          </cell>
          <cell r="V26">
            <v>63.933948941063235</v>
          </cell>
        </row>
        <row r="27">
          <cell r="C27" t="str">
            <v>AG.SUPORTE B-III</v>
          </cell>
          <cell r="E27">
            <v>5127.2628665123457</v>
          </cell>
          <cell r="F27">
            <v>5239.9865787936815</v>
          </cell>
          <cell r="G27">
            <v>62879.838945524178</v>
          </cell>
          <cell r="L27">
            <v>5239.9865787936815</v>
          </cell>
          <cell r="M27">
            <v>1746.6621929312271</v>
          </cell>
          <cell r="N27">
            <v>20261.281438002232</v>
          </cell>
          <cell r="O27">
            <v>5589.3190173799267</v>
          </cell>
          <cell r="P27">
            <v>943.19758418286267</v>
          </cell>
          <cell r="Q27">
            <v>12575.967789104836</v>
          </cell>
          <cell r="R27">
            <v>0</v>
          </cell>
          <cell r="S27">
            <v>46356.414600394761</v>
          </cell>
          <cell r="T27">
            <v>109236.25354591894</v>
          </cell>
          <cell r="U27">
            <v>9103.0211288265782</v>
          </cell>
          <cell r="V27">
            <v>63.325364374445762</v>
          </cell>
        </row>
        <row r="28">
          <cell r="C28" t="str">
            <v>TEC.INFORMAT.II</v>
          </cell>
          <cell r="E28">
            <v>4929.7445370370378</v>
          </cell>
          <cell r="F28">
            <v>5038.1257765562523</v>
          </cell>
          <cell r="G28">
            <v>60457.509318675031</v>
          </cell>
          <cell r="L28">
            <v>5038.1257765562523</v>
          </cell>
          <cell r="M28">
            <v>1679.375258852084</v>
          </cell>
          <cell r="N28">
            <v>19480.753002684174</v>
          </cell>
          <cell r="O28">
            <v>5374.0008283266698</v>
          </cell>
          <cell r="P28">
            <v>906.86263978012539</v>
          </cell>
          <cell r="Q28">
            <v>12091.501863735008</v>
          </cell>
          <cell r="R28">
            <v>0</v>
          </cell>
          <cell r="S28">
            <v>44570.619369934313</v>
          </cell>
          <cell r="T28">
            <v>105028.12868860934</v>
          </cell>
          <cell r="U28">
            <v>8752.3440573841126</v>
          </cell>
          <cell r="V28">
            <v>60.885871703541646</v>
          </cell>
        </row>
        <row r="29">
          <cell r="C29" t="str">
            <v>AG.OPERAC. A-VI</v>
          </cell>
          <cell r="E29">
            <v>4918.8289639639643</v>
          </cell>
          <cell r="F29">
            <v>5026.9702228247825</v>
          </cell>
          <cell r="G29">
            <v>60323.64267389739</v>
          </cell>
          <cell r="I29">
            <v>498</v>
          </cell>
          <cell r="L29">
            <v>5068.4702228247825</v>
          </cell>
          <cell r="M29">
            <v>1689.4900742749273</v>
          </cell>
          <cell r="N29">
            <v>19598.084861589159</v>
          </cell>
          <cell r="O29">
            <v>5406.3682376797688</v>
          </cell>
          <cell r="P29">
            <v>904.85464010846079</v>
          </cell>
          <cell r="Q29">
            <v>12064.728534779479</v>
          </cell>
          <cell r="R29">
            <v>0</v>
          </cell>
          <cell r="S29">
            <v>45229.996571256575</v>
          </cell>
          <cell r="T29">
            <v>105553.63924515396</v>
          </cell>
          <cell r="U29">
            <v>8796.1366037628304</v>
          </cell>
          <cell r="V29">
            <v>61.19051550443708</v>
          </cell>
        </row>
        <row r="30">
          <cell r="C30" t="str">
            <v>TEC.INFORMAT.III</v>
          </cell>
          <cell r="E30">
            <v>4898.1683333333331</v>
          </cell>
          <cell r="F30">
            <v>5005.8553648523139</v>
          </cell>
          <cell r="G30">
            <v>60070.264378227766</v>
          </cell>
          <cell r="L30">
            <v>5005.8553648523139</v>
          </cell>
          <cell r="M30">
            <v>1668.6184549507711</v>
          </cell>
          <cell r="N30">
            <v>19355.974077428946</v>
          </cell>
          <cell r="O30">
            <v>5339.5790558424687</v>
          </cell>
          <cell r="P30">
            <v>901.05396567341643</v>
          </cell>
          <cell r="Q30">
            <v>12014.052875645553</v>
          </cell>
          <cell r="R30">
            <v>0</v>
          </cell>
          <cell r="S30">
            <v>44285.13379439347</v>
          </cell>
          <cell r="T30">
            <v>104355.39817262124</v>
          </cell>
          <cell r="U30">
            <v>8696.2831810517691</v>
          </cell>
          <cell r="V30">
            <v>60.495882998621006</v>
          </cell>
        </row>
        <row r="31">
          <cell r="C31" t="str">
            <v>AN.SUPORTE A-I</v>
          </cell>
          <cell r="E31">
            <v>4876.5501255707759</v>
          </cell>
          <cell r="F31">
            <v>4983.7618772581372</v>
          </cell>
          <cell r="G31">
            <v>59805.142527097647</v>
          </cell>
          <cell r="L31">
            <v>4983.7618772581372</v>
          </cell>
          <cell r="M31">
            <v>1661.2539590860456</v>
          </cell>
          <cell r="N31">
            <v>19270.545925398128</v>
          </cell>
          <cell r="O31">
            <v>5316.0126690753459</v>
          </cell>
          <cell r="P31">
            <v>897.07713790646471</v>
          </cell>
          <cell r="Q31">
            <v>11961.02850541953</v>
          </cell>
          <cell r="R31">
            <v>0</v>
          </cell>
          <cell r="S31">
            <v>44089.680074143653</v>
          </cell>
          <cell r="T31">
            <v>103894.82260124129</v>
          </cell>
          <cell r="U31">
            <v>8657.9018834367744</v>
          </cell>
          <cell r="V31">
            <v>60.228882667386259</v>
          </cell>
        </row>
        <row r="32">
          <cell r="C32" t="str">
            <v>AG.OPERAC. B-III</v>
          </cell>
          <cell r="E32">
            <v>4575.4659761904768</v>
          </cell>
          <cell r="F32">
            <v>4676.0583436350516</v>
          </cell>
          <cell r="G32">
            <v>56112.70012362062</v>
          </cell>
          <cell r="L32">
            <v>4676.0583436350516</v>
          </cell>
          <cell r="M32">
            <v>1558.6861145450171</v>
          </cell>
          <cell r="N32">
            <v>18080.758928722196</v>
          </cell>
          <cell r="O32">
            <v>4987.795566544055</v>
          </cell>
          <cell r="P32">
            <v>841.69050185430922</v>
          </cell>
          <cell r="Q32">
            <v>11222.540024724125</v>
          </cell>
          <cell r="R32">
            <v>0</v>
          </cell>
          <cell r="S32">
            <v>41367.52948002475</v>
          </cell>
          <cell r="T32">
            <v>97480.229603645363</v>
          </cell>
          <cell r="U32">
            <v>8123.3524669704466</v>
          </cell>
          <cell r="V32">
            <v>56.510278031098764</v>
          </cell>
        </row>
        <row r="33">
          <cell r="C33" t="str">
            <v>ANAL.OPERAC. I</v>
          </cell>
          <cell r="E33">
            <v>4552.3954074074063</v>
          </cell>
          <cell r="F33">
            <v>4652.4805646259065</v>
          </cell>
          <cell r="G33">
            <v>55829.766775510878</v>
          </cell>
          <cell r="I33">
            <v>498</v>
          </cell>
          <cell r="L33">
            <v>4693.9805646259065</v>
          </cell>
          <cell r="M33">
            <v>1564.6601882086354</v>
          </cell>
          <cell r="N33">
            <v>18150.058183220168</v>
          </cell>
          <cell r="O33">
            <v>5006.9126022676337</v>
          </cell>
          <cell r="P33">
            <v>837.44650163266317</v>
          </cell>
          <cell r="Q33">
            <v>11165.953355102176</v>
          </cell>
          <cell r="R33">
            <v>0</v>
          </cell>
          <cell r="S33">
            <v>41917.011395057183</v>
          </cell>
          <cell r="T33">
            <v>97746.778170568054</v>
          </cell>
          <cell r="U33">
            <v>8145.5648475473381</v>
          </cell>
          <cell r="V33">
            <v>56.664798939459743</v>
          </cell>
        </row>
        <row r="34">
          <cell r="C34" t="str">
            <v>CONS. FISCAL</v>
          </cell>
          <cell r="E34">
            <v>4413.76</v>
          </cell>
          <cell r="F34">
            <v>4510.7972351237186</v>
          </cell>
          <cell r="G34">
            <v>54129.566821484623</v>
          </cell>
          <cell r="L34">
            <v>4510.7972351237186</v>
          </cell>
          <cell r="M34">
            <v>1503.5990783745729</v>
          </cell>
          <cell r="N34">
            <v>17441.749309145045</v>
          </cell>
          <cell r="O34">
            <v>4811.5170507986331</v>
          </cell>
          <cell r="P34">
            <v>811.9435023222693</v>
          </cell>
          <cell r="Q34">
            <v>10825.913364296925</v>
          </cell>
          <cell r="R34">
            <v>0</v>
          </cell>
          <cell r="S34">
            <v>39905.519540061163</v>
          </cell>
          <cell r="T34">
            <v>94035.086361545778</v>
          </cell>
          <cell r="U34">
            <v>7836.2571967954818</v>
          </cell>
          <cell r="V34">
            <v>54.513093542925091</v>
          </cell>
        </row>
        <row r="35">
          <cell r="C35" t="str">
            <v>AG.SUPORTE A-III</v>
          </cell>
          <cell r="E35">
            <v>4317.2598148148154</v>
          </cell>
          <cell r="F35">
            <v>4412.1754775922127</v>
          </cell>
          <cell r="G35">
            <v>52946.105731106552</v>
          </cell>
          <cell r="L35">
            <v>4412.1754775922127</v>
          </cell>
          <cell r="M35">
            <v>1470.7251591974041</v>
          </cell>
          <cell r="N35">
            <v>17060.411846689891</v>
          </cell>
          <cell r="O35">
            <v>4706.3205094316936</v>
          </cell>
          <cell r="P35">
            <v>794.19158596659827</v>
          </cell>
          <cell r="Q35">
            <v>10589.221146221311</v>
          </cell>
          <cell r="R35">
            <v>0</v>
          </cell>
          <cell r="S35">
            <v>39033.045725099109</v>
          </cell>
          <cell r="T35">
            <v>91979.151456205669</v>
          </cell>
          <cell r="U35">
            <v>7664.9292880171388</v>
          </cell>
          <cell r="V35">
            <v>53.321247220988795</v>
          </cell>
        </row>
        <row r="36">
          <cell r="C36" t="str">
            <v>TEC.SEG.TRAB.II</v>
          </cell>
          <cell r="E36">
            <v>4079.4641666666666</v>
          </cell>
          <cell r="F36">
            <v>4169.1518532467289</v>
          </cell>
          <cell r="G36">
            <v>50029.822238960747</v>
          </cell>
          <cell r="L36">
            <v>4169.1518532467289</v>
          </cell>
          <cell r="M36">
            <v>1389.7172844155762</v>
          </cell>
          <cell r="N36">
            <v>16120.720499220686</v>
          </cell>
          <cell r="O36">
            <v>4447.0953101298446</v>
          </cell>
          <cell r="P36">
            <v>750.44733358441113</v>
          </cell>
          <cell r="Q36">
            <v>10005.96444779215</v>
          </cell>
          <cell r="R36">
            <v>0</v>
          </cell>
          <cell r="S36">
            <v>36883.096728389399</v>
          </cell>
          <cell r="T36">
            <v>86912.918967350153</v>
          </cell>
          <cell r="U36">
            <v>7242.7432472791797</v>
          </cell>
          <cell r="V36">
            <v>50.384300850637771</v>
          </cell>
        </row>
        <row r="37">
          <cell r="C37" t="str">
            <v>TEC.OPERAC. II</v>
          </cell>
          <cell r="E37">
            <v>4041.8477845528464</v>
          </cell>
          <cell r="F37">
            <v>4130.7084688229324</v>
          </cell>
          <cell r="G37">
            <v>49568.501625875186</v>
          </cell>
          <cell r="I37">
            <v>498</v>
          </cell>
          <cell r="L37">
            <v>4172.2084688229315</v>
          </cell>
          <cell r="M37">
            <v>1390.7361562743106</v>
          </cell>
          <cell r="N37">
            <v>16132.539412782002</v>
          </cell>
          <cell r="O37">
            <v>4450.3557000777937</v>
          </cell>
          <cell r="P37">
            <v>743.52752438812774</v>
          </cell>
          <cell r="Q37">
            <v>9913.7003251750375</v>
          </cell>
          <cell r="R37">
            <v>0</v>
          </cell>
          <cell r="S37">
            <v>37301.0675875202</v>
          </cell>
          <cell r="T37">
            <v>86869.569213395385</v>
          </cell>
          <cell r="U37">
            <v>7239.1307677829491</v>
          </cell>
          <cell r="V37">
            <v>50.359170558490078</v>
          </cell>
        </row>
        <row r="38">
          <cell r="C38" t="str">
            <v>CONS.DE ADMINIS.</v>
          </cell>
          <cell r="E38">
            <v>3945.6339393939397</v>
          </cell>
          <cell r="F38">
            <v>4032.3793465499907</v>
          </cell>
          <cell r="G38">
            <v>48388.552158599887</v>
          </cell>
          <cell r="L38">
            <v>4032.3793465499903</v>
          </cell>
          <cell r="M38">
            <v>1344.1264488499967</v>
          </cell>
          <cell r="N38">
            <v>15591.866806659962</v>
          </cell>
          <cell r="O38">
            <v>4301.2046363199897</v>
          </cell>
          <cell r="P38">
            <v>725.82828237899832</v>
          </cell>
          <cell r="Q38">
            <v>9677.7104317199774</v>
          </cell>
          <cell r="R38">
            <v>0</v>
          </cell>
          <cell r="S38">
            <v>35673.115952478918</v>
          </cell>
          <cell r="T38">
            <v>84061.668111078805</v>
          </cell>
          <cell r="U38">
            <v>7005.1390092565671</v>
          </cell>
          <cell r="V38">
            <v>48.731401803523944</v>
          </cell>
        </row>
        <row r="39">
          <cell r="C39" t="str">
            <v>AG.OPERAC. A-V</v>
          </cell>
          <cell r="E39">
            <v>3888.8558399999997</v>
          </cell>
          <cell r="F39">
            <v>3974.352971359277</v>
          </cell>
          <cell r="G39">
            <v>47692.235656311328</v>
          </cell>
          <cell r="L39">
            <v>3974.352971359277</v>
          </cell>
          <cell r="M39">
            <v>1324.7843237864256</v>
          </cell>
          <cell r="N39">
            <v>15367.49815592254</v>
          </cell>
          <cell r="O39">
            <v>4239.309836116563</v>
          </cell>
          <cell r="P39">
            <v>715.38353484466984</v>
          </cell>
          <cell r="Q39">
            <v>9538.4471312622663</v>
          </cell>
          <cell r="R39">
            <v>0</v>
          </cell>
          <cell r="S39">
            <v>35159.775953291741</v>
          </cell>
          <cell r="T39">
            <v>82852.011609603069</v>
          </cell>
          <cell r="U39">
            <v>6904.3343008002557</v>
          </cell>
          <cell r="V39">
            <v>48.030151657740909</v>
          </cell>
        </row>
        <row r="40">
          <cell r="C40" t="str">
            <v>AG.SUPORTE B-II</v>
          </cell>
          <cell r="E40">
            <v>3784.5720274914079</v>
          </cell>
          <cell r="F40">
            <v>3867.7764621852584</v>
          </cell>
          <cell r="G40">
            <v>46413.317546223101</v>
          </cell>
          <cell r="L40">
            <v>3867.7764621852584</v>
          </cell>
          <cell r="M40">
            <v>1289.2588207284193</v>
          </cell>
          <cell r="N40">
            <v>14955.402320449664</v>
          </cell>
          <cell r="O40">
            <v>4125.6282263309422</v>
          </cell>
          <cell r="P40">
            <v>696.19976319334648</v>
          </cell>
          <cell r="Q40">
            <v>9282.6635092446213</v>
          </cell>
          <cell r="R40">
            <v>0</v>
          </cell>
          <cell r="S40">
            <v>34216.929102132257</v>
          </cell>
          <cell r="T40">
            <v>80630.246648355358</v>
          </cell>
          <cell r="U40">
            <v>6719.1872206962798</v>
          </cell>
          <cell r="V40">
            <v>46.742171970061079</v>
          </cell>
        </row>
        <row r="41">
          <cell r="C41" t="str">
            <v>AN.SUPORTE B-I</v>
          </cell>
          <cell r="E41">
            <v>3693.3237499999996</v>
          </cell>
          <cell r="F41">
            <v>3774.5220763967141</v>
          </cell>
          <cell r="G41">
            <v>45294.26491676057</v>
          </cell>
          <cell r="L41">
            <v>3774.5220763967141</v>
          </cell>
          <cell r="M41">
            <v>1258.1740254655713</v>
          </cell>
          <cell r="N41">
            <v>14594.818695400629</v>
          </cell>
          <cell r="O41">
            <v>4026.1568814898287</v>
          </cell>
          <cell r="P41">
            <v>679.41397375140855</v>
          </cell>
          <cell r="Q41">
            <v>9058.8529833521152</v>
          </cell>
          <cell r="R41">
            <v>0</v>
          </cell>
          <cell r="S41">
            <v>33391.938635856262</v>
          </cell>
          <cell r="T41">
            <v>78686.203552616833</v>
          </cell>
          <cell r="U41">
            <v>6557.1836293847364</v>
          </cell>
          <cell r="V41">
            <v>45.615190465285117</v>
          </cell>
        </row>
        <row r="42">
          <cell r="C42" t="str">
            <v>AG.OPERAC. A-IV</v>
          </cell>
          <cell r="E42">
            <v>3334.8827245862867</v>
          </cell>
          <cell r="F42">
            <v>3408.2006664444089</v>
          </cell>
          <cell r="G42">
            <v>40898.407997332906</v>
          </cell>
          <cell r="L42">
            <v>3408.2006664444089</v>
          </cell>
          <cell r="M42">
            <v>1136.066888814803</v>
          </cell>
          <cell r="N42">
            <v>13178.375910251714</v>
          </cell>
          <cell r="O42">
            <v>3635.4140442073694</v>
          </cell>
          <cell r="P42">
            <v>613.47611995999353</v>
          </cell>
          <cell r="Q42">
            <v>8179.6815994665812</v>
          </cell>
          <cell r="R42">
            <v>0</v>
          </cell>
          <cell r="S42">
            <v>30151.215229144869</v>
          </cell>
          <cell r="T42">
            <v>71049.623226477779</v>
          </cell>
          <cell r="U42">
            <v>5920.8019355398146</v>
          </cell>
          <cell r="V42">
            <v>41.188187377668278</v>
          </cell>
        </row>
        <row r="43">
          <cell r="C43" t="str">
            <v>AG.OPERAC. B-II</v>
          </cell>
          <cell r="D43" t="str">
            <v>O1e2</v>
          </cell>
          <cell r="E43">
            <v>3239.4658830845806</v>
          </cell>
          <cell r="F43">
            <v>3310.686070084359</v>
          </cell>
          <cell r="G43">
            <v>39728.232841012308</v>
          </cell>
          <cell r="H43">
            <v>0</v>
          </cell>
          <cell r="I43">
            <v>1992</v>
          </cell>
          <cell r="L43">
            <v>3476.686070084359</v>
          </cell>
          <cell r="M43">
            <v>1158.8953566947862</v>
          </cell>
          <cell r="N43">
            <v>13443.186137659523</v>
          </cell>
          <cell r="O43">
            <v>3708.4651414233167</v>
          </cell>
          <cell r="P43">
            <v>595.92349261518461</v>
          </cell>
          <cell r="Q43">
            <v>7945.6465682024618</v>
          </cell>
          <cell r="R43">
            <v>0</v>
          </cell>
          <cell r="S43">
            <v>32320.80276667963</v>
          </cell>
          <cell r="T43">
            <v>72049.035607691942</v>
          </cell>
          <cell r="U43">
            <v>6004.0863006409954</v>
          </cell>
          <cell r="V43">
            <v>41.767556874024315</v>
          </cell>
        </row>
        <row r="44">
          <cell r="C44" t="str">
            <v>EMPR EM COMISSAO</v>
          </cell>
          <cell r="E44">
            <v>2993.9708333333333</v>
          </cell>
          <cell r="F44">
            <v>3059.7937715329003</v>
          </cell>
          <cell r="G44">
            <v>36717.525258394802</v>
          </cell>
          <cell r="L44">
            <v>3059.7937715328999</v>
          </cell>
          <cell r="M44">
            <v>1019.9312571776334</v>
          </cell>
          <cell r="N44">
            <v>11831.202583260547</v>
          </cell>
          <cell r="O44">
            <v>3263.7800229684271</v>
          </cell>
          <cell r="P44">
            <v>550.76287887592207</v>
          </cell>
          <cell r="Q44">
            <v>7343.5050516789606</v>
          </cell>
          <cell r="R44">
            <v>0</v>
          </cell>
          <cell r="S44">
            <v>27068.975565494387</v>
          </cell>
          <cell r="T44">
            <v>63786.50082388919</v>
          </cell>
          <cell r="U44">
            <v>5315.5417353240991</v>
          </cell>
          <cell r="V44">
            <v>36.977681637037215</v>
          </cell>
        </row>
        <row r="45">
          <cell r="C45" t="str">
            <v>VIGIA</v>
          </cell>
          <cell r="E45">
            <v>2877.467916666667</v>
          </cell>
          <cell r="F45">
            <v>2940.7295191984172</v>
          </cell>
          <cell r="G45">
            <v>35288.754230381004</v>
          </cell>
          <cell r="L45">
            <v>2940.7295191984167</v>
          </cell>
          <cell r="M45">
            <v>980.24317306613898</v>
          </cell>
          <cell r="N45">
            <v>11370.820807567212</v>
          </cell>
          <cell r="O45">
            <v>3136.7781538116451</v>
          </cell>
          <cell r="P45">
            <v>529.33131345571508</v>
          </cell>
          <cell r="Q45">
            <v>7057.750846076201</v>
          </cell>
          <cell r="R45">
            <v>0</v>
          </cell>
          <cell r="S45">
            <v>26015.653813175326</v>
          </cell>
          <cell r="T45">
            <v>61304.40804355633</v>
          </cell>
          <cell r="U45">
            <v>5108.7006702963608</v>
          </cell>
          <cell r="V45">
            <v>35.538787271626859</v>
          </cell>
        </row>
        <row r="46">
          <cell r="C46" t="str">
            <v>TEC.OPERAC. I</v>
          </cell>
          <cell r="D46" t="str">
            <v>O3</v>
          </cell>
          <cell r="E46">
            <v>2851.9438677536236</v>
          </cell>
          <cell r="F46">
            <v>2914.6443198975676</v>
          </cell>
          <cell r="G46">
            <v>34975.731838770807</v>
          </cell>
          <cell r="H46">
            <v>0</v>
          </cell>
          <cell r="I46">
            <v>1992</v>
          </cell>
          <cell r="L46">
            <v>3080.6443198975671</v>
          </cell>
          <cell r="M46">
            <v>1026.8814399658556</v>
          </cell>
          <cell r="N46">
            <v>11911.824703603927</v>
          </cell>
          <cell r="O46">
            <v>3286.020607890739</v>
          </cell>
          <cell r="P46">
            <v>524.63597758156209</v>
          </cell>
          <cell r="Q46">
            <v>6995.1463677541615</v>
          </cell>
          <cell r="R46">
            <v>0</v>
          </cell>
          <cell r="S46">
            <v>28817.153416693811</v>
          </cell>
          <cell r="T46">
            <v>63792.885255464615</v>
          </cell>
          <cell r="U46">
            <v>5316.0737712887176</v>
          </cell>
          <cell r="V46">
            <v>36.981382756791078</v>
          </cell>
        </row>
        <row r="47">
          <cell r="C47" t="str">
            <v>AG.OPERAC. A-III</v>
          </cell>
          <cell r="D47" t="str">
            <v>O4</v>
          </cell>
          <cell r="E47">
            <v>2811.5910944206007</v>
          </cell>
          <cell r="F47">
            <v>2873.404384246292</v>
          </cell>
          <cell r="G47">
            <v>34480.852610955502</v>
          </cell>
          <cell r="H47">
            <v>0</v>
          </cell>
          <cell r="I47">
            <v>996</v>
          </cell>
          <cell r="L47">
            <v>2956.4043842462916</v>
          </cell>
          <cell r="M47">
            <v>985.46812808209722</v>
          </cell>
          <cell r="N47">
            <v>11431.430285752327</v>
          </cell>
          <cell r="O47">
            <v>3153.4980098627111</v>
          </cell>
          <cell r="P47">
            <v>517.21278916433255</v>
          </cell>
          <cell r="Q47">
            <v>6896.1705221911006</v>
          </cell>
          <cell r="R47">
            <v>0</v>
          </cell>
          <cell r="S47">
            <v>26936.184119298861</v>
          </cell>
          <cell r="T47">
            <v>61417.03673025436</v>
          </cell>
          <cell r="U47">
            <v>5118.0863941878633</v>
          </cell>
          <cell r="V47">
            <v>35.604079263915573</v>
          </cell>
        </row>
        <row r="48">
          <cell r="C48" t="str">
            <v>TEC.SEG.TRAB.I</v>
          </cell>
          <cell r="E48">
            <v>2681.06</v>
          </cell>
          <cell r="F48">
            <v>2740.0035423767481</v>
          </cell>
          <cell r="G48">
            <v>32880.042508520979</v>
          </cell>
          <cell r="L48">
            <v>2740.0035423767481</v>
          </cell>
          <cell r="M48">
            <v>913.3345141255827</v>
          </cell>
          <cell r="N48">
            <v>10594.68036385676</v>
          </cell>
          <cell r="O48">
            <v>2922.6704452018648</v>
          </cell>
          <cell r="P48">
            <v>493.20063762781467</v>
          </cell>
          <cell r="Q48">
            <v>6576.0085017041965</v>
          </cell>
          <cell r="R48">
            <v>0</v>
          </cell>
          <cell r="S48">
            <v>24239.898004892966</v>
          </cell>
          <cell r="T48">
            <v>57119.940513413945</v>
          </cell>
          <cell r="U48">
            <v>4759.9950427844951</v>
          </cell>
          <cell r="V48">
            <v>33.113008993283444</v>
          </cell>
        </row>
        <row r="49">
          <cell r="C49" t="str">
            <v>TEC.CONTAB. I</v>
          </cell>
          <cell r="E49">
            <v>2601.4783333333335</v>
          </cell>
          <cell r="F49">
            <v>2658.6722597590851</v>
          </cell>
          <cell r="G49">
            <v>31904.067117109022</v>
          </cell>
          <cell r="L49">
            <v>2658.6722597590851</v>
          </cell>
          <cell r="M49">
            <v>886.22408658636164</v>
          </cell>
          <cell r="N49">
            <v>10280.199404401796</v>
          </cell>
          <cell r="O49">
            <v>2835.9170770763576</v>
          </cell>
          <cell r="P49">
            <v>478.56100675663532</v>
          </cell>
          <cell r="Q49">
            <v>6380.8134234218051</v>
          </cell>
          <cell r="R49">
            <v>0</v>
          </cell>
          <cell r="S49">
            <v>23520.38725800204</v>
          </cell>
          <cell r="T49">
            <v>55424.454375111061</v>
          </cell>
          <cell r="U49">
            <v>4618.7045312592554</v>
          </cell>
          <cell r="V49">
            <v>32.130118478325251</v>
          </cell>
        </row>
        <row r="50">
          <cell r="C50" t="str">
            <v>AG.SUPORTE A-I</v>
          </cell>
          <cell r="E50">
            <v>2432.5096639784947</v>
          </cell>
          <cell r="F50">
            <v>2485.9887865869277</v>
          </cell>
          <cell r="G50">
            <v>29831.865439043133</v>
          </cell>
          <cell r="L50">
            <v>2485.9887865869277</v>
          </cell>
          <cell r="M50">
            <v>828.66292886230917</v>
          </cell>
          <cell r="N50">
            <v>9612.4899748027874</v>
          </cell>
          <cell r="O50">
            <v>2651.72137235939</v>
          </cell>
          <cell r="P50">
            <v>447.477981585647</v>
          </cell>
          <cell r="Q50">
            <v>5966.3730878086271</v>
          </cell>
          <cell r="R50">
            <v>0</v>
          </cell>
          <cell r="S50">
            <v>21992.714132005691</v>
          </cell>
          <cell r="T50">
            <v>51824.579571048824</v>
          </cell>
          <cell r="U50">
            <v>4318.7149642540689</v>
          </cell>
          <cell r="V50">
            <v>30.043234533941348</v>
          </cell>
        </row>
        <row r="51">
          <cell r="C51" t="str">
            <v>AG.OPERAC. A-II</v>
          </cell>
          <cell r="E51">
            <v>1996.8821264367816</v>
          </cell>
          <cell r="F51">
            <v>2040.7839064196978</v>
          </cell>
          <cell r="G51">
            <v>24489.406877036374</v>
          </cell>
          <cell r="L51">
            <v>2040.7839064196978</v>
          </cell>
          <cell r="M51">
            <v>680.26130213989927</v>
          </cell>
          <cell r="N51">
            <v>7891.0311048228314</v>
          </cell>
          <cell r="O51">
            <v>2176.8361668476778</v>
          </cell>
          <cell r="P51">
            <v>367.34110315554557</v>
          </cell>
          <cell r="Q51">
            <v>4897.8813754072753</v>
          </cell>
          <cell r="R51">
            <v>0</v>
          </cell>
          <cell r="S51">
            <v>18054.134958792929</v>
          </cell>
          <cell r="T51">
            <v>42543.541835829303</v>
          </cell>
          <cell r="U51">
            <v>3545.2951529857751</v>
          </cell>
          <cell r="V51">
            <v>24.662922803379306</v>
          </cell>
        </row>
        <row r="52">
          <cell r="C52" t="str">
            <v>AG.OPERAC. A-II E</v>
          </cell>
          <cell r="E52">
            <v>1996.8821264367816</v>
          </cell>
          <cell r="F52">
            <v>2040.7839064196978</v>
          </cell>
          <cell r="G52">
            <v>24489.406877036374</v>
          </cell>
          <cell r="L52">
            <v>2040.7839064196978</v>
          </cell>
          <cell r="M52">
            <v>680.26130213989927</v>
          </cell>
          <cell r="N52">
            <v>7891.0311048228314</v>
          </cell>
          <cell r="O52">
            <v>2176.8361668476778</v>
          </cell>
          <cell r="P52">
            <v>367.34110315554557</v>
          </cell>
          <cell r="Q52">
            <v>4897.8813754072753</v>
          </cell>
          <cell r="R52">
            <v>0</v>
          </cell>
          <cell r="S52">
            <v>18054.134958792929</v>
          </cell>
          <cell r="T52">
            <v>42543.541835829303</v>
          </cell>
          <cell r="U52">
            <v>3545.2951529857751</v>
          </cell>
          <cell r="V52">
            <v>24.662922803379306</v>
          </cell>
        </row>
        <row r="53">
          <cell r="C53" t="str">
            <v>AG.OPERAC. A-II A</v>
          </cell>
          <cell r="E53">
            <v>1996.8821264367816</v>
          </cell>
          <cell r="F53">
            <v>2040.7839064196978</v>
          </cell>
          <cell r="G53">
            <v>24489.406877036374</v>
          </cell>
          <cell r="L53">
            <v>2040.7839064196978</v>
          </cell>
          <cell r="M53">
            <v>680.26130213989927</v>
          </cell>
          <cell r="N53">
            <v>7891.0311048228314</v>
          </cell>
          <cell r="O53">
            <v>2176.8361668476778</v>
          </cell>
          <cell r="P53">
            <v>367.34110315554557</v>
          </cell>
          <cell r="Q53">
            <v>4897.8813754072753</v>
          </cell>
          <cell r="R53">
            <v>0</v>
          </cell>
          <cell r="S53">
            <v>18054.134958792929</v>
          </cell>
          <cell r="T53">
            <v>42543.541835829303</v>
          </cell>
          <cell r="U53">
            <v>3545.2951529857751</v>
          </cell>
          <cell r="V53">
            <v>24.662922803379306</v>
          </cell>
        </row>
        <row r="54">
          <cell r="C54" t="str">
            <v>AG.OPERAC. B-I</v>
          </cell>
          <cell r="E54">
            <v>1911.4824629629629</v>
          </cell>
          <cell r="F54">
            <v>1953.5067173840009</v>
          </cell>
          <cell r="G54">
            <v>23442.080608608012</v>
          </cell>
          <cell r="L54">
            <v>1953.5067173840009</v>
          </cell>
          <cell r="M54">
            <v>651.16890579466701</v>
          </cell>
          <cell r="N54">
            <v>7553.5593072181364</v>
          </cell>
          <cell r="O54">
            <v>2083.7404985429343</v>
          </cell>
          <cell r="P54">
            <v>351.63120912912018</v>
          </cell>
          <cell r="Q54">
            <v>4688.4161217216024</v>
          </cell>
          <cell r="R54">
            <v>0</v>
          </cell>
          <cell r="S54">
            <v>17282.02275979046</v>
          </cell>
          <cell r="T54">
            <v>40724.103368398472</v>
          </cell>
          <cell r="U54">
            <v>3393.6752806998725</v>
          </cell>
          <cell r="V54">
            <v>23.608175865738243</v>
          </cell>
        </row>
        <row r="55">
          <cell r="C55" t="str">
            <v>AG.SUPORTE B-I</v>
          </cell>
          <cell r="E55">
            <v>1590.1994937694701</v>
          </cell>
          <cell r="F55">
            <v>1625.1602895921985</v>
          </cell>
          <cell r="G55">
            <v>19501.923475106381</v>
          </cell>
          <cell r="L55">
            <v>1625.1602895921983</v>
          </cell>
          <cell r="M55">
            <v>541.7200965307328</v>
          </cell>
          <cell r="N55">
            <v>6283.9531197564993</v>
          </cell>
          <cell r="O55">
            <v>1733.5043088983448</v>
          </cell>
          <cell r="P55">
            <v>292.52885212659572</v>
          </cell>
          <cell r="Q55">
            <v>3900.3846950212765</v>
          </cell>
          <cell r="R55">
            <v>0</v>
          </cell>
          <cell r="S55">
            <v>14377.25136192565</v>
          </cell>
          <cell r="T55">
            <v>33879.174837032027</v>
          </cell>
          <cell r="U55">
            <v>2823.2645697526691</v>
          </cell>
          <cell r="V55">
            <v>19.640101354801175</v>
          </cell>
        </row>
        <row r="56">
          <cell r="C56" t="str">
            <v>AG.OPERAC. A-I</v>
          </cell>
          <cell r="D56" t="str">
            <v>O5</v>
          </cell>
          <cell r="E56">
            <v>1409.3978961748628</v>
          </cell>
          <cell r="F56">
            <v>1440.3837393185756</v>
          </cell>
          <cell r="G56">
            <v>17284.604871822907</v>
          </cell>
          <cell r="H56">
            <v>0</v>
          </cell>
          <cell r="I56">
            <v>1992</v>
          </cell>
          <cell r="L56">
            <v>1606.3837393185754</v>
          </cell>
          <cell r="M56">
            <v>535.46124643952521</v>
          </cell>
          <cell r="N56">
            <v>6211.3504586984918</v>
          </cell>
          <cell r="O56">
            <v>1713.4759886064805</v>
          </cell>
          <cell r="P56">
            <v>259.26907307734359</v>
          </cell>
          <cell r="Q56">
            <v>3456.9209743645815</v>
          </cell>
          <cell r="R56">
            <v>0</v>
          </cell>
          <cell r="S56">
            <v>15774.861480504998</v>
          </cell>
          <cell r="T56">
            <v>33059.466352327901</v>
          </cell>
          <cell r="U56">
            <v>2754.9555293606586</v>
          </cell>
          <cell r="V56">
            <v>19.164908030335017</v>
          </cell>
        </row>
        <row r="57"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F58">
            <v>0</v>
          </cell>
          <cell r="G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</sheetData>
      <sheetData sheetId="3">
        <row r="11">
          <cell r="B11" t="str">
            <v>EQ1</v>
          </cell>
          <cell r="C11" t="str">
            <v>Quantidade</v>
          </cell>
          <cell r="F11">
            <v>1</v>
          </cell>
          <cell r="K11">
            <v>36.981382756791078</v>
          </cell>
          <cell r="L11">
            <v>0.08</v>
          </cell>
          <cell r="M11">
            <v>2.9585106205432861</v>
          </cell>
          <cell r="N11">
            <v>39.939893377334364</v>
          </cell>
          <cell r="P11">
            <v>1</v>
          </cell>
          <cell r="AD11">
            <v>4.5877525252525251</v>
          </cell>
          <cell r="AT11">
            <v>0</v>
          </cell>
          <cell r="AV11">
            <v>44.52764590258689</v>
          </cell>
        </row>
        <row r="12">
          <cell r="C12" t="str">
            <v>Custo Total (R$/Hora)</v>
          </cell>
          <cell r="D12">
            <v>0</v>
          </cell>
          <cell r="E12">
            <v>0</v>
          </cell>
          <cell r="F12">
            <v>36.981382756791078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O12">
            <v>0</v>
          </cell>
          <cell r="P12">
            <v>4.5877525252525251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AB12">
            <v>0</v>
          </cell>
          <cell r="AC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</row>
        <row r="13">
          <cell r="B13" t="str">
            <v>EQ2</v>
          </cell>
          <cell r="C13" t="str">
            <v>Quantidade</v>
          </cell>
          <cell r="G13">
            <v>1</v>
          </cell>
          <cell r="K13">
            <v>35.604079263915573</v>
          </cell>
          <cell r="L13">
            <v>0.08</v>
          </cell>
          <cell r="M13">
            <v>2.8483263411132458</v>
          </cell>
          <cell r="N13">
            <v>38.452405605028815</v>
          </cell>
          <cell r="P13">
            <v>1</v>
          </cell>
          <cell r="AD13">
            <v>4.5877525252525251</v>
          </cell>
          <cell r="AT13">
            <v>0</v>
          </cell>
          <cell r="AV13">
            <v>43.040158130281341</v>
          </cell>
        </row>
        <row r="14">
          <cell r="C14" t="str">
            <v>Custo Total (R$/Hora)</v>
          </cell>
          <cell r="D14">
            <v>0</v>
          </cell>
          <cell r="E14">
            <v>0</v>
          </cell>
          <cell r="F14">
            <v>0</v>
          </cell>
          <cell r="G14">
            <v>35.604079263915573</v>
          </cell>
          <cell r="H14">
            <v>0</v>
          </cell>
          <cell r="I14">
            <v>0</v>
          </cell>
          <cell r="J14">
            <v>0</v>
          </cell>
          <cell r="O14">
            <v>0</v>
          </cell>
          <cell r="P14">
            <v>4.5877525252525251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AB14">
            <v>0</v>
          </cell>
          <cell r="AC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</row>
        <row r="15">
          <cell r="B15" t="str">
            <v>EQ2_T</v>
          </cell>
          <cell r="C15" t="str">
            <v>Quantidade</v>
          </cell>
          <cell r="G15">
            <v>1</v>
          </cell>
          <cell r="K15">
            <v>44.505099079894464</v>
          </cell>
          <cell r="L15">
            <v>0.08</v>
          </cell>
          <cell r="M15">
            <v>3.5604079263915573</v>
          </cell>
          <cell r="N15">
            <v>48.065507006286019</v>
          </cell>
          <cell r="P15">
            <v>1</v>
          </cell>
          <cell r="AD15">
            <v>4.5877525252525251</v>
          </cell>
          <cell r="AT15">
            <v>0</v>
          </cell>
          <cell r="AV15">
            <v>52.653259531538545</v>
          </cell>
        </row>
        <row r="16">
          <cell r="C16" t="str">
            <v>Custo Total (R$/Hora)</v>
          </cell>
          <cell r="D16">
            <v>0</v>
          </cell>
          <cell r="E16">
            <v>0</v>
          </cell>
          <cell r="F16">
            <v>0</v>
          </cell>
          <cell r="G16">
            <v>44.505099079894464</v>
          </cell>
          <cell r="H16">
            <v>0</v>
          </cell>
          <cell r="I16">
            <v>0</v>
          </cell>
          <cell r="J16">
            <v>0</v>
          </cell>
          <cell r="O16">
            <v>0</v>
          </cell>
          <cell r="P16">
            <v>4.5877525252525251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</row>
        <row r="17">
          <cell r="B17" t="str">
            <v>EQ3</v>
          </cell>
          <cell r="C17" t="str">
            <v>Quantidade</v>
          </cell>
          <cell r="F17">
            <v>2</v>
          </cell>
          <cell r="H17">
            <v>1</v>
          </cell>
          <cell r="K17">
            <v>93.127673543917169</v>
          </cell>
          <cell r="L17">
            <v>0.08</v>
          </cell>
          <cell r="M17">
            <v>7.4502138835133733</v>
          </cell>
          <cell r="N17">
            <v>100.57788742743054</v>
          </cell>
          <cell r="Q17">
            <v>1</v>
          </cell>
          <cell r="AD17">
            <v>5.955303030303031</v>
          </cell>
          <cell r="AT17">
            <v>0</v>
          </cell>
          <cell r="AV17">
            <v>106.53319045773357</v>
          </cell>
        </row>
        <row r="18">
          <cell r="C18" t="str">
            <v>Custo Total (R$/Hora)</v>
          </cell>
          <cell r="D18">
            <v>0</v>
          </cell>
          <cell r="E18">
            <v>0</v>
          </cell>
          <cell r="F18">
            <v>73.962765513582156</v>
          </cell>
          <cell r="G18">
            <v>0</v>
          </cell>
          <cell r="H18">
            <v>19.164908030335017</v>
          </cell>
          <cell r="I18">
            <v>0</v>
          </cell>
          <cell r="J18">
            <v>0</v>
          </cell>
          <cell r="O18">
            <v>0</v>
          </cell>
          <cell r="P18">
            <v>0</v>
          </cell>
          <cell r="Q18">
            <v>5.955303030303031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AB18">
            <v>0</v>
          </cell>
          <cell r="AC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</row>
        <row r="19">
          <cell r="B19" t="str">
            <v>EQ3_T</v>
          </cell>
          <cell r="C19" t="str">
            <v>Quantidade</v>
          </cell>
          <cell r="F19">
            <v>2</v>
          </cell>
          <cell r="H19">
            <v>1</v>
          </cell>
          <cell r="K19">
            <v>116.40959192989648</v>
          </cell>
          <cell r="L19">
            <v>0.08</v>
          </cell>
          <cell r="M19">
            <v>9.3127673543917187</v>
          </cell>
          <cell r="N19">
            <v>125.7223592842882</v>
          </cell>
          <cell r="Q19">
            <v>1</v>
          </cell>
          <cell r="AD19">
            <v>5.955303030303031</v>
          </cell>
          <cell r="AT19">
            <v>0</v>
          </cell>
          <cell r="AV19">
            <v>131.67766231459123</v>
          </cell>
        </row>
        <row r="20">
          <cell r="C20" t="str">
            <v>Custo Total (R$/Hora)</v>
          </cell>
          <cell r="D20">
            <v>0</v>
          </cell>
          <cell r="E20">
            <v>0</v>
          </cell>
          <cell r="F20">
            <v>92.453456891977709</v>
          </cell>
          <cell r="G20">
            <v>0</v>
          </cell>
          <cell r="H20">
            <v>23.95613503791877</v>
          </cell>
          <cell r="I20">
            <v>0</v>
          </cell>
          <cell r="J20">
            <v>0</v>
          </cell>
          <cell r="O20">
            <v>0</v>
          </cell>
          <cell r="P20">
            <v>0</v>
          </cell>
          <cell r="Q20">
            <v>5.955303030303031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</row>
        <row r="21">
          <cell r="B21" t="str">
            <v>EQ4</v>
          </cell>
          <cell r="C21" t="str">
            <v>Quantidade</v>
          </cell>
          <cell r="G21">
            <v>2</v>
          </cell>
          <cell r="H21">
            <v>1</v>
          </cell>
          <cell r="K21">
            <v>90.373066558166158</v>
          </cell>
          <cell r="L21">
            <v>0.08</v>
          </cell>
          <cell r="M21">
            <v>7.2298453246532928</v>
          </cell>
          <cell r="N21">
            <v>97.602911882819456</v>
          </cell>
          <cell r="Q21">
            <v>1</v>
          </cell>
          <cell r="AD21">
            <v>5.955303030303031</v>
          </cell>
          <cell r="AT21">
            <v>0</v>
          </cell>
          <cell r="AV21">
            <v>103.55821491312248</v>
          </cell>
        </row>
        <row r="22">
          <cell r="C22" t="str">
            <v>Custo Total (R$/Hora)</v>
          </cell>
          <cell r="D22">
            <v>0</v>
          </cell>
          <cell r="E22">
            <v>0</v>
          </cell>
          <cell r="F22">
            <v>0</v>
          </cell>
          <cell r="G22">
            <v>71.208158527831145</v>
          </cell>
          <cell r="H22">
            <v>19.164908030335017</v>
          </cell>
          <cell r="I22">
            <v>0</v>
          </cell>
          <cell r="J22">
            <v>0</v>
          </cell>
          <cell r="O22">
            <v>0</v>
          </cell>
          <cell r="P22">
            <v>0</v>
          </cell>
          <cell r="Q22">
            <v>5.955303030303031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B22">
            <v>0</v>
          </cell>
          <cell r="AC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</row>
        <row r="23">
          <cell r="B23" t="str">
            <v>EQ4_T</v>
          </cell>
          <cell r="C23" t="str">
            <v>Quantidade</v>
          </cell>
          <cell r="G23">
            <v>2</v>
          </cell>
          <cell r="H23">
            <v>1</v>
          </cell>
          <cell r="K23">
            <v>112.9663331977077</v>
          </cell>
          <cell r="L23">
            <v>0.08</v>
          </cell>
          <cell r="M23">
            <v>9.0373066558166162</v>
          </cell>
          <cell r="N23">
            <v>122.00363985352432</v>
          </cell>
          <cell r="Q23">
            <v>1</v>
          </cell>
          <cell r="AD23">
            <v>5.955303030303031</v>
          </cell>
          <cell r="AT23">
            <v>0</v>
          </cell>
          <cell r="AV23">
            <v>127.95894288382735</v>
          </cell>
        </row>
        <row r="24">
          <cell r="C24" t="str">
            <v>Custo Total (R$/Hora)</v>
          </cell>
          <cell r="D24">
            <v>0</v>
          </cell>
          <cell r="E24">
            <v>0</v>
          </cell>
          <cell r="F24">
            <v>0</v>
          </cell>
          <cell r="G24">
            <v>89.010198159788928</v>
          </cell>
          <cell r="H24">
            <v>23.95613503791877</v>
          </cell>
          <cell r="I24">
            <v>0</v>
          </cell>
          <cell r="J24">
            <v>0</v>
          </cell>
          <cell r="O24">
            <v>0</v>
          </cell>
          <cell r="P24">
            <v>0</v>
          </cell>
          <cell r="Q24">
            <v>5.955303030303031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</row>
        <row r="25">
          <cell r="B25" t="str">
            <v>EQ5</v>
          </cell>
          <cell r="C25" t="str">
            <v>Quantidade</v>
          </cell>
          <cell r="F25">
            <v>3</v>
          </cell>
          <cell r="H25">
            <v>1</v>
          </cell>
          <cell r="K25">
            <v>130.10905630070826</v>
          </cell>
          <cell r="L25">
            <v>0.08</v>
          </cell>
          <cell r="M25">
            <v>10.408724504056661</v>
          </cell>
          <cell r="N25">
            <v>140.51778080476493</v>
          </cell>
          <cell r="R25">
            <v>1</v>
          </cell>
          <cell r="AD25">
            <v>6.7662878787878791</v>
          </cell>
          <cell r="AT25">
            <v>0</v>
          </cell>
          <cell r="AV25">
            <v>147.28406868355282</v>
          </cell>
        </row>
        <row r="26">
          <cell r="C26" t="str">
            <v>Custo Total (R$/Hora)</v>
          </cell>
          <cell r="D26">
            <v>0</v>
          </cell>
          <cell r="E26">
            <v>0</v>
          </cell>
          <cell r="F26">
            <v>110.94414827037323</v>
          </cell>
          <cell r="G26">
            <v>0</v>
          </cell>
          <cell r="H26">
            <v>19.164908030335017</v>
          </cell>
          <cell r="I26">
            <v>0</v>
          </cell>
          <cell r="J26">
            <v>0</v>
          </cell>
          <cell r="O26">
            <v>0</v>
          </cell>
          <cell r="P26">
            <v>0</v>
          </cell>
          <cell r="Q26">
            <v>0</v>
          </cell>
          <cell r="R26">
            <v>6.7662878787878791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AB26">
            <v>0</v>
          </cell>
          <cell r="AC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</row>
        <row r="27">
          <cell r="B27" t="str">
            <v>EQ6</v>
          </cell>
          <cell r="C27" t="str">
            <v>Quantidade</v>
          </cell>
          <cell r="G27">
            <v>3</v>
          </cell>
          <cell r="H27">
            <v>1</v>
          </cell>
          <cell r="K27">
            <v>125.97714582208174</v>
          </cell>
          <cell r="L27">
            <v>0.08</v>
          </cell>
          <cell r="M27">
            <v>10.07817166576654</v>
          </cell>
          <cell r="N27">
            <v>136.05531748784827</v>
          </cell>
          <cell r="R27">
            <v>1</v>
          </cell>
          <cell r="AD27">
            <v>6.7662878787878791</v>
          </cell>
          <cell r="AT27">
            <v>0</v>
          </cell>
          <cell r="AV27">
            <v>142.82160536663616</v>
          </cell>
        </row>
        <row r="28">
          <cell r="C28" t="str">
            <v>Custo Total (R$/Hora)</v>
          </cell>
          <cell r="D28">
            <v>0</v>
          </cell>
          <cell r="E28">
            <v>0</v>
          </cell>
          <cell r="F28">
            <v>0</v>
          </cell>
          <cell r="G28">
            <v>106.81223779174672</v>
          </cell>
          <cell r="H28">
            <v>19.164908030335017</v>
          </cell>
          <cell r="I28">
            <v>0</v>
          </cell>
          <cell r="J28">
            <v>0</v>
          </cell>
          <cell r="O28">
            <v>0</v>
          </cell>
          <cell r="P28">
            <v>0</v>
          </cell>
          <cell r="Q28">
            <v>0</v>
          </cell>
          <cell r="R28">
            <v>6.7662878787878791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AB28">
            <v>0</v>
          </cell>
          <cell r="AC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</row>
        <row r="29">
          <cell r="B29" t="str">
            <v>EQ7</v>
          </cell>
          <cell r="C29" t="str">
            <v>Quantidade</v>
          </cell>
          <cell r="D29">
            <v>1</v>
          </cell>
          <cell r="H29">
            <v>1</v>
          </cell>
          <cell r="K29">
            <v>60.932464904359335</v>
          </cell>
          <cell r="L29">
            <v>0.08</v>
          </cell>
          <cell r="M29">
            <v>4.8745971923487472</v>
          </cell>
          <cell r="N29">
            <v>65.80706209670808</v>
          </cell>
          <cell r="P29">
            <v>1</v>
          </cell>
          <cell r="AD29">
            <v>4.5877525252525251</v>
          </cell>
          <cell r="AF29">
            <v>1</v>
          </cell>
          <cell r="AT29">
            <v>2.6654589371980677</v>
          </cell>
          <cell r="AV29">
            <v>73.060273559158674</v>
          </cell>
        </row>
        <row r="30">
          <cell r="C30" t="str">
            <v>Custo Total (R$/Hora)</v>
          </cell>
          <cell r="D30">
            <v>41.767556874024315</v>
          </cell>
          <cell r="E30">
            <v>0</v>
          </cell>
          <cell r="F30">
            <v>0</v>
          </cell>
          <cell r="G30">
            <v>0</v>
          </cell>
          <cell r="H30">
            <v>19.164908030335017</v>
          </cell>
          <cell r="I30">
            <v>0</v>
          </cell>
          <cell r="J30">
            <v>0</v>
          </cell>
          <cell r="O30">
            <v>0</v>
          </cell>
          <cell r="P30">
            <v>4.5877525252525251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AB30">
            <v>0</v>
          </cell>
          <cell r="AC30">
            <v>0</v>
          </cell>
          <cell r="AE30">
            <v>0</v>
          </cell>
          <cell r="AF30">
            <v>2.6654589371980677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</row>
        <row r="31">
          <cell r="B31" t="str">
            <v>EQ7_T</v>
          </cell>
          <cell r="C31" t="str">
            <v>Quantidade</v>
          </cell>
          <cell r="D31">
            <v>1</v>
          </cell>
          <cell r="H31">
            <v>1</v>
          </cell>
          <cell r="K31">
            <v>76.165581130449169</v>
          </cell>
          <cell r="L31">
            <v>0.08</v>
          </cell>
          <cell r="M31">
            <v>6.0932464904359334</v>
          </cell>
          <cell r="N31">
            <v>82.2588276208851</v>
          </cell>
          <cell r="P31">
            <v>1</v>
          </cell>
          <cell r="AD31">
            <v>4.5877525252525251</v>
          </cell>
          <cell r="AF31">
            <v>1</v>
          </cell>
          <cell r="AT31">
            <v>2.6654589371980677</v>
          </cell>
          <cell r="AV31">
            <v>89.512039083335694</v>
          </cell>
        </row>
        <row r="32">
          <cell r="C32" t="str">
            <v>Custo Total (R$/Hora)</v>
          </cell>
          <cell r="D32">
            <v>52.209446092530392</v>
          </cell>
          <cell r="E32">
            <v>0</v>
          </cell>
          <cell r="F32">
            <v>0</v>
          </cell>
          <cell r="G32">
            <v>0</v>
          </cell>
          <cell r="H32">
            <v>23.95613503791877</v>
          </cell>
          <cell r="I32">
            <v>0</v>
          </cell>
          <cell r="J32">
            <v>0</v>
          </cell>
          <cell r="O32">
            <v>0</v>
          </cell>
          <cell r="P32">
            <v>4.5877525252525251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E32">
            <v>0</v>
          </cell>
          <cell r="AF32">
            <v>2.6654589371980677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</row>
        <row r="33">
          <cell r="B33" t="str">
            <v>EQ8</v>
          </cell>
          <cell r="C33" t="str">
            <v>Quantidade</v>
          </cell>
          <cell r="E33">
            <v>1</v>
          </cell>
          <cell r="H33">
            <v>1</v>
          </cell>
          <cell r="K33">
            <v>60.932464904359335</v>
          </cell>
          <cell r="L33">
            <v>0.08</v>
          </cell>
          <cell r="M33">
            <v>4.8745971923487472</v>
          </cell>
          <cell r="N33">
            <v>65.80706209670808</v>
          </cell>
          <cell r="P33">
            <v>1</v>
          </cell>
          <cell r="AD33">
            <v>4.5877525252525251</v>
          </cell>
          <cell r="AF33">
            <v>1</v>
          </cell>
          <cell r="AT33">
            <v>2.6654589371980677</v>
          </cell>
          <cell r="AV33">
            <v>73.060273559158674</v>
          </cell>
        </row>
        <row r="34">
          <cell r="C34" t="str">
            <v>Custo Total (R$/Hora)</v>
          </cell>
          <cell r="D34">
            <v>0</v>
          </cell>
          <cell r="E34">
            <v>41.767556874024315</v>
          </cell>
          <cell r="F34">
            <v>0</v>
          </cell>
          <cell r="G34">
            <v>0</v>
          </cell>
          <cell r="H34">
            <v>19.164908030335017</v>
          </cell>
          <cell r="I34">
            <v>0</v>
          </cell>
          <cell r="J34">
            <v>0</v>
          </cell>
          <cell r="O34">
            <v>0</v>
          </cell>
          <cell r="P34">
            <v>4.5877525252525251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AB34">
            <v>0</v>
          </cell>
          <cell r="AC34">
            <v>0</v>
          </cell>
          <cell r="AE34">
            <v>0</v>
          </cell>
          <cell r="AF34">
            <v>2.6654589371980677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</row>
        <row r="35">
          <cell r="B35" t="str">
            <v>EQ8_T</v>
          </cell>
          <cell r="C35" t="str">
            <v>Quantidade</v>
          </cell>
          <cell r="E35">
            <v>1</v>
          </cell>
          <cell r="H35">
            <v>1</v>
          </cell>
          <cell r="K35">
            <v>76.165581130449169</v>
          </cell>
          <cell r="L35">
            <v>0.08</v>
          </cell>
          <cell r="M35">
            <v>6.0932464904359334</v>
          </cell>
          <cell r="N35">
            <v>82.2588276208851</v>
          </cell>
          <cell r="P35">
            <v>1</v>
          </cell>
          <cell r="AD35">
            <v>4.5877525252525251</v>
          </cell>
          <cell r="AF35">
            <v>1</v>
          </cell>
          <cell r="AT35">
            <v>2.6654589371980677</v>
          </cell>
          <cell r="AV35">
            <v>89.512039083335694</v>
          </cell>
        </row>
        <row r="36">
          <cell r="C36" t="str">
            <v>Custo Total (R$/Hora)</v>
          </cell>
          <cell r="D36">
            <v>0</v>
          </cell>
          <cell r="E36">
            <v>52.209446092530392</v>
          </cell>
          <cell r="F36">
            <v>0</v>
          </cell>
          <cell r="G36">
            <v>0</v>
          </cell>
          <cell r="H36">
            <v>23.95613503791877</v>
          </cell>
          <cell r="I36">
            <v>0</v>
          </cell>
          <cell r="J36">
            <v>0</v>
          </cell>
          <cell r="O36">
            <v>0</v>
          </cell>
          <cell r="P36">
            <v>4.5877525252525251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E36">
            <v>0</v>
          </cell>
          <cell r="AF36">
            <v>2.6654589371980677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</row>
        <row r="37">
          <cell r="B37" t="str">
            <v>EQ9</v>
          </cell>
          <cell r="C37" t="str">
            <v>Quantidade</v>
          </cell>
          <cell r="D37">
            <v>1</v>
          </cell>
          <cell r="H37">
            <v>1</v>
          </cell>
          <cell r="K37">
            <v>60.932464904359335</v>
          </cell>
          <cell r="L37">
            <v>0.08</v>
          </cell>
          <cell r="M37">
            <v>4.8745971923487472</v>
          </cell>
          <cell r="N37">
            <v>65.80706209670808</v>
          </cell>
          <cell r="Q37">
            <v>1</v>
          </cell>
          <cell r="AD37">
            <v>5.955303030303031</v>
          </cell>
          <cell r="AT37">
            <v>0</v>
          </cell>
          <cell r="AV37">
            <v>71.762365127011108</v>
          </cell>
        </row>
        <row r="38">
          <cell r="C38" t="str">
            <v>Custo Total (R$/Hora)</v>
          </cell>
          <cell r="D38">
            <v>41.767556874024315</v>
          </cell>
          <cell r="E38">
            <v>0</v>
          </cell>
          <cell r="F38">
            <v>0</v>
          </cell>
          <cell r="G38">
            <v>0</v>
          </cell>
          <cell r="H38">
            <v>19.164908030335017</v>
          </cell>
          <cell r="I38">
            <v>0</v>
          </cell>
          <cell r="J38">
            <v>0</v>
          </cell>
          <cell r="O38">
            <v>0</v>
          </cell>
          <cell r="P38">
            <v>0</v>
          </cell>
          <cell r="Q38">
            <v>5.955303030303031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AB38">
            <v>0</v>
          </cell>
          <cell r="AC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</row>
        <row r="39">
          <cell r="B39" t="str">
            <v>EQ10</v>
          </cell>
          <cell r="C39" t="str">
            <v>Quantidade</v>
          </cell>
          <cell r="E39">
            <v>1</v>
          </cell>
          <cell r="H39">
            <v>1</v>
          </cell>
          <cell r="K39">
            <v>60.932464904359335</v>
          </cell>
          <cell r="L39">
            <v>0.08</v>
          </cell>
          <cell r="M39">
            <v>4.8745971923487472</v>
          </cell>
          <cell r="N39">
            <v>65.80706209670808</v>
          </cell>
          <cell r="Q39">
            <v>1</v>
          </cell>
          <cell r="AD39">
            <v>5.955303030303031</v>
          </cell>
          <cell r="AT39">
            <v>0</v>
          </cell>
          <cell r="AV39">
            <v>71.762365127011108</v>
          </cell>
        </row>
        <row r="40">
          <cell r="C40" t="str">
            <v>Custo Total (R$/Hora)</v>
          </cell>
          <cell r="D40">
            <v>0</v>
          </cell>
          <cell r="E40">
            <v>41.767556874024315</v>
          </cell>
          <cell r="F40">
            <v>0</v>
          </cell>
          <cell r="G40">
            <v>0</v>
          </cell>
          <cell r="H40">
            <v>19.164908030335017</v>
          </cell>
          <cell r="I40">
            <v>0</v>
          </cell>
          <cell r="J40">
            <v>0</v>
          </cell>
          <cell r="O40">
            <v>0</v>
          </cell>
          <cell r="P40">
            <v>0</v>
          </cell>
          <cell r="Q40">
            <v>5.955303030303031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AB40">
            <v>0</v>
          </cell>
          <cell r="AC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</row>
        <row r="41">
          <cell r="B41" t="str">
            <v>EQ11</v>
          </cell>
          <cell r="C41" t="str">
            <v>Quantidade</v>
          </cell>
          <cell r="D41">
            <v>1</v>
          </cell>
          <cell r="F41">
            <v>1</v>
          </cell>
          <cell r="H41">
            <v>1</v>
          </cell>
          <cell r="K41">
            <v>97.913847661150399</v>
          </cell>
          <cell r="L41">
            <v>0.08</v>
          </cell>
          <cell r="M41">
            <v>7.833107812892032</v>
          </cell>
          <cell r="N41">
            <v>105.74695547404244</v>
          </cell>
          <cell r="AD41">
            <v>0</v>
          </cell>
          <cell r="AT41">
            <v>0</v>
          </cell>
          <cell r="AV41">
            <v>105.74695547404244</v>
          </cell>
        </row>
        <row r="42">
          <cell r="C42" t="str">
            <v>Custo Total (R$/Hora)</v>
          </cell>
          <cell r="D42">
            <v>41.767556874024315</v>
          </cell>
          <cell r="E42">
            <v>0</v>
          </cell>
          <cell r="F42">
            <v>36.981382756791078</v>
          </cell>
          <cell r="G42">
            <v>0</v>
          </cell>
          <cell r="H42">
            <v>19.164908030335017</v>
          </cell>
          <cell r="I42">
            <v>0</v>
          </cell>
          <cell r="J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AB42">
            <v>0</v>
          </cell>
          <cell r="AC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</row>
        <row r="43">
          <cell r="B43" t="str">
            <v>EQ12</v>
          </cell>
          <cell r="C43" t="str">
            <v>Quantidade</v>
          </cell>
          <cell r="E43">
            <v>1</v>
          </cell>
          <cell r="G43">
            <v>1</v>
          </cell>
          <cell r="H43">
            <v>1</v>
          </cell>
          <cell r="K43">
            <v>96.536544168274901</v>
          </cell>
          <cell r="L43">
            <v>0.08</v>
          </cell>
          <cell r="M43">
            <v>7.7229235334619926</v>
          </cell>
          <cell r="N43">
            <v>104.2594677017369</v>
          </cell>
          <cell r="AD43">
            <v>0</v>
          </cell>
          <cell r="AT43">
            <v>0</v>
          </cell>
          <cell r="AV43">
            <v>104.2594677017369</v>
          </cell>
        </row>
        <row r="44">
          <cell r="C44" t="str">
            <v>Custo Total (R$/Hora)</v>
          </cell>
          <cell r="D44">
            <v>0</v>
          </cell>
          <cell r="E44">
            <v>41.767556874024315</v>
          </cell>
          <cell r="F44">
            <v>0</v>
          </cell>
          <cell r="G44">
            <v>35.604079263915573</v>
          </cell>
          <cell r="H44">
            <v>19.164908030335017</v>
          </cell>
          <cell r="I44">
            <v>0</v>
          </cell>
          <cell r="J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AB44">
            <v>0</v>
          </cell>
          <cell r="AC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</row>
        <row r="45">
          <cell r="B45" t="str">
            <v>EQ13</v>
          </cell>
          <cell r="C45" t="str">
            <v>Quantidade</v>
          </cell>
          <cell r="D45">
            <v>2</v>
          </cell>
          <cell r="F45">
            <v>4</v>
          </cell>
          <cell r="H45">
            <v>2</v>
          </cell>
          <cell r="K45">
            <v>269.79046083588298</v>
          </cell>
          <cell r="L45">
            <v>0.08</v>
          </cell>
          <cell r="M45">
            <v>21.583236866870639</v>
          </cell>
          <cell r="N45">
            <v>291.37369770275365</v>
          </cell>
          <cell r="P45">
            <v>2</v>
          </cell>
          <cell r="T45">
            <v>1</v>
          </cell>
          <cell r="AD45">
            <v>30.660353535353536</v>
          </cell>
          <cell r="AI45">
            <v>1</v>
          </cell>
          <cell r="AJ45">
            <v>1</v>
          </cell>
          <cell r="AK45">
            <v>1</v>
          </cell>
          <cell r="AN45">
            <v>1</v>
          </cell>
          <cell r="AO45">
            <v>1</v>
          </cell>
          <cell r="AT45">
            <v>106.31546442687747</v>
          </cell>
          <cell r="AV45">
            <v>428.34951566498466</v>
          </cell>
        </row>
        <row r="46">
          <cell r="C46" t="str">
            <v>Custo Total (R$/Hora)</v>
          </cell>
          <cell r="D46">
            <v>83.53511374804863</v>
          </cell>
          <cell r="E46">
            <v>0</v>
          </cell>
          <cell r="F46">
            <v>147.92553102716431</v>
          </cell>
          <cell r="G46">
            <v>0</v>
          </cell>
          <cell r="H46">
            <v>38.329816060670034</v>
          </cell>
          <cell r="I46">
            <v>0</v>
          </cell>
          <cell r="J46">
            <v>0</v>
          </cell>
          <cell r="O46">
            <v>0</v>
          </cell>
          <cell r="P46">
            <v>9.1755050505050502</v>
          </cell>
          <cell r="Q46">
            <v>0</v>
          </cell>
          <cell r="R46">
            <v>0</v>
          </cell>
          <cell r="S46">
            <v>0</v>
          </cell>
          <cell r="T46">
            <v>21.484848484848484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AB46">
            <v>0</v>
          </cell>
          <cell r="AC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51.491820377689947</v>
          </cell>
          <cell r="AJ46">
            <v>9.9954710144927539</v>
          </cell>
          <cell r="AK46">
            <v>19.990942028985508</v>
          </cell>
          <cell r="AL46">
            <v>0</v>
          </cell>
          <cell r="AM46">
            <v>0</v>
          </cell>
          <cell r="AN46">
            <v>18.779369784804569</v>
          </cell>
          <cell r="AO46">
            <v>6.0578612209046998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</row>
        <row r="47">
          <cell r="B47" t="str">
            <v>EQ13_T</v>
          </cell>
          <cell r="C47" t="str">
            <v>Quantidade</v>
          </cell>
          <cell r="D47">
            <v>2</v>
          </cell>
          <cell r="F47">
            <v>4</v>
          </cell>
          <cell r="H47">
            <v>2</v>
          </cell>
          <cell r="K47">
            <v>337.23807604485376</v>
          </cell>
          <cell r="L47">
            <v>0.08</v>
          </cell>
          <cell r="M47">
            <v>26.979046083588301</v>
          </cell>
          <cell r="N47">
            <v>364.21712212844204</v>
          </cell>
          <cell r="P47">
            <v>2</v>
          </cell>
          <cell r="T47">
            <v>1</v>
          </cell>
          <cell r="AD47">
            <v>30.660353535353536</v>
          </cell>
          <cell r="AI47">
            <v>1</v>
          </cell>
          <cell r="AJ47">
            <v>1</v>
          </cell>
          <cell r="AK47">
            <v>1</v>
          </cell>
          <cell r="AN47">
            <v>1</v>
          </cell>
          <cell r="AO47">
            <v>1</v>
          </cell>
          <cell r="AT47">
            <v>106.31546442687747</v>
          </cell>
          <cell r="AV47">
            <v>501.19294009067301</v>
          </cell>
        </row>
        <row r="48">
          <cell r="C48" t="str">
            <v>Custo Total (R$/Hora)</v>
          </cell>
          <cell r="D48">
            <v>104.41889218506078</v>
          </cell>
          <cell r="E48">
            <v>0</v>
          </cell>
          <cell r="F48">
            <v>184.90691378395542</v>
          </cell>
          <cell r="G48">
            <v>0</v>
          </cell>
          <cell r="H48">
            <v>47.91227007583754</v>
          </cell>
          <cell r="I48">
            <v>0</v>
          </cell>
          <cell r="J48">
            <v>0</v>
          </cell>
          <cell r="O48">
            <v>0</v>
          </cell>
          <cell r="P48">
            <v>9.1755050505050502</v>
          </cell>
          <cell r="Q48">
            <v>0</v>
          </cell>
          <cell r="R48">
            <v>0</v>
          </cell>
          <cell r="S48">
            <v>0</v>
          </cell>
          <cell r="T48">
            <v>21.484848484848484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51.491820377689947</v>
          </cell>
          <cell r="AJ48">
            <v>9.9954710144927539</v>
          </cell>
          <cell r="AK48">
            <v>19.990942028985508</v>
          </cell>
          <cell r="AL48">
            <v>0</v>
          </cell>
          <cell r="AM48">
            <v>0</v>
          </cell>
          <cell r="AN48">
            <v>18.779369784804569</v>
          </cell>
          <cell r="AO48">
            <v>6.0578612209046998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</row>
        <row r="49">
          <cell r="B49" t="str">
            <v>EQ14</v>
          </cell>
          <cell r="C49" t="str">
            <v>Quantidade</v>
          </cell>
          <cell r="E49">
            <v>2</v>
          </cell>
          <cell r="G49">
            <v>4</v>
          </cell>
          <cell r="H49">
            <v>2</v>
          </cell>
          <cell r="K49">
            <v>264.28124686438099</v>
          </cell>
          <cell r="L49">
            <v>0.08</v>
          </cell>
          <cell r="M49">
            <v>21.142499749150481</v>
          </cell>
          <cell r="N49">
            <v>285.42374661353148</v>
          </cell>
          <cell r="P49">
            <v>2</v>
          </cell>
          <cell r="T49">
            <v>1</v>
          </cell>
          <cell r="AD49">
            <v>30.660353535353536</v>
          </cell>
          <cell r="AI49">
            <v>1</v>
          </cell>
          <cell r="AJ49">
            <v>1</v>
          </cell>
          <cell r="AK49">
            <v>1</v>
          </cell>
          <cell r="AN49">
            <v>1</v>
          </cell>
          <cell r="AO49">
            <v>1</v>
          </cell>
          <cell r="AT49">
            <v>106.31546442687747</v>
          </cell>
          <cell r="AV49">
            <v>422.3995645757625</v>
          </cell>
        </row>
        <row r="50">
          <cell r="C50" t="str">
            <v>Custo Total (R$/Hora)</v>
          </cell>
          <cell r="D50">
            <v>0</v>
          </cell>
          <cell r="E50">
            <v>83.53511374804863</v>
          </cell>
          <cell r="F50">
            <v>0</v>
          </cell>
          <cell r="G50">
            <v>142.41631705566229</v>
          </cell>
          <cell r="H50">
            <v>38.329816060670034</v>
          </cell>
          <cell r="I50">
            <v>0</v>
          </cell>
          <cell r="J50">
            <v>0</v>
          </cell>
          <cell r="O50">
            <v>0</v>
          </cell>
          <cell r="P50">
            <v>9.1755050505050502</v>
          </cell>
          <cell r="Q50">
            <v>0</v>
          </cell>
          <cell r="R50">
            <v>0</v>
          </cell>
          <cell r="S50">
            <v>0</v>
          </cell>
          <cell r="T50">
            <v>21.484848484848484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AB50">
            <v>0</v>
          </cell>
          <cell r="AC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51.491820377689947</v>
          </cell>
          <cell r="AJ50">
            <v>9.9954710144927539</v>
          </cell>
          <cell r="AK50">
            <v>19.990942028985508</v>
          </cell>
          <cell r="AL50">
            <v>0</v>
          </cell>
          <cell r="AM50">
            <v>0</v>
          </cell>
          <cell r="AN50">
            <v>18.779369784804569</v>
          </cell>
          <cell r="AO50">
            <v>6.0578612209046998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</row>
        <row r="51">
          <cell r="B51" t="str">
            <v>EQ14_T</v>
          </cell>
          <cell r="C51" t="str">
            <v>Quantidade</v>
          </cell>
          <cell r="E51">
            <v>2</v>
          </cell>
          <cell r="G51">
            <v>4</v>
          </cell>
          <cell r="H51">
            <v>2</v>
          </cell>
          <cell r="K51">
            <v>330.35155858047619</v>
          </cell>
          <cell r="L51">
            <v>0.08</v>
          </cell>
          <cell r="M51">
            <v>26.428124686438096</v>
          </cell>
          <cell r="N51">
            <v>356.77968326691428</v>
          </cell>
          <cell r="P51">
            <v>2</v>
          </cell>
          <cell r="T51">
            <v>1</v>
          </cell>
          <cell r="AD51">
            <v>30.660353535353536</v>
          </cell>
          <cell r="AI51">
            <v>1</v>
          </cell>
          <cell r="AJ51">
            <v>1</v>
          </cell>
          <cell r="AK51">
            <v>1</v>
          </cell>
          <cell r="AN51">
            <v>1</v>
          </cell>
          <cell r="AO51">
            <v>1</v>
          </cell>
          <cell r="AT51">
            <v>106.31546442687747</v>
          </cell>
          <cell r="AV51">
            <v>493.75550122914524</v>
          </cell>
        </row>
        <row r="52">
          <cell r="C52" t="str">
            <v>Custo Total (R$/Hora)</v>
          </cell>
          <cell r="D52">
            <v>0</v>
          </cell>
          <cell r="E52">
            <v>104.41889218506078</v>
          </cell>
          <cell r="F52">
            <v>0</v>
          </cell>
          <cell r="G52">
            <v>178.02039631957786</v>
          </cell>
          <cell r="H52">
            <v>47.91227007583754</v>
          </cell>
          <cell r="I52">
            <v>0</v>
          </cell>
          <cell r="J52">
            <v>0</v>
          </cell>
          <cell r="O52">
            <v>0</v>
          </cell>
          <cell r="P52">
            <v>9.1755050505050502</v>
          </cell>
          <cell r="Q52">
            <v>0</v>
          </cell>
          <cell r="R52">
            <v>0</v>
          </cell>
          <cell r="S52">
            <v>0</v>
          </cell>
          <cell r="T52">
            <v>21.484848484848484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51.491820377689947</v>
          </cell>
          <cell r="AJ52">
            <v>9.9954710144927539</v>
          </cell>
          <cell r="AK52">
            <v>19.990942028985508</v>
          </cell>
          <cell r="AL52">
            <v>0</v>
          </cell>
          <cell r="AM52">
            <v>0</v>
          </cell>
          <cell r="AN52">
            <v>18.779369784804569</v>
          </cell>
          <cell r="AO52">
            <v>6.0578612209046998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</row>
        <row r="53">
          <cell r="B53" t="str">
            <v>EQ15</v>
          </cell>
          <cell r="C53" t="str">
            <v>Quantidade</v>
          </cell>
          <cell r="F53">
            <v>1</v>
          </cell>
          <cell r="H53">
            <v>1</v>
          </cell>
          <cell r="K53">
            <v>56.146290787126091</v>
          </cell>
          <cell r="L53">
            <v>0.08</v>
          </cell>
          <cell r="M53">
            <v>4.4917032629700877</v>
          </cell>
          <cell r="N53">
            <v>60.637994050096182</v>
          </cell>
          <cell r="R53">
            <v>1</v>
          </cell>
          <cell r="W53">
            <v>1</v>
          </cell>
          <cell r="AD53">
            <v>7.7760555555555557</v>
          </cell>
          <cell r="AT53">
            <v>0</v>
          </cell>
          <cell r="AV53">
            <v>68.414049605651741</v>
          </cell>
        </row>
        <row r="54">
          <cell r="C54" t="str">
            <v>Custo Total (R$/Hora)</v>
          </cell>
          <cell r="D54">
            <v>0</v>
          </cell>
          <cell r="E54">
            <v>0</v>
          </cell>
          <cell r="F54">
            <v>36.981382756791078</v>
          </cell>
          <cell r="G54">
            <v>0</v>
          </cell>
          <cell r="H54">
            <v>19.164908030335017</v>
          </cell>
          <cell r="I54">
            <v>0</v>
          </cell>
          <cell r="J54">
            <v>0</v>
          </cell>
          <cell r="O54">
            <v>0</v>
          </cell>
          <cell r="P54">
            <v>0</v>
          </cell>
          <cell r="Q54">
            <v>0</v>
          </cell>
          <cell r="R54">
            <v>6.7662878787878791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1.0097676767676769</v>
          </cell>
          <cell r="X54">
            <v>0</v>
          </cell>
          <cell r="Y54">
            <v>0</v>
          </cell>
          <cell r="AB54">
            <v>0</v>
          </cell>
          <cell r="AC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</row>
        <row r="55">
          <cell r="B55" t="str">
            <v>EQ16</v>
          </cell>
          <cell r="C55" t="str">
            <v>Quantidade</v>
          </cell>
          <cell r="G55">
            <v>1</v>
          </cell>
          <cell r="H55">
            <v>1</v>
          </cell>
          <cell r="K55">
            <v>54.768987294250593</v>
          </cell>
          <cell r="L55">
            <v>0.08</v>
          </cell>
          <cell r="M55">
            <v>4.3815189835400474</v>
          </cell>
          <cell r="N55">
            <v>59.15050627779064</v>
          </cell>
          <cell r="R55">
            <v>1</v>
          </cell>
          <cell r="W55">
            <v>1</v>
          </cell>
          <cell r="AD55">
            <v>7.7760555555555557</v>
          </cell>
          <cell r="AT55">
            <v>0</v>
          </cell>
          <cell r="AV55">
            <v>66.926561833346199</v>
          </cell>
        </row>
        <row r="56">
          <cell r="C56" t="str">
            <v>Custo Total (R$/Hora)</v>
          </cell>
          <cell r="D56">
            <v>0</v>
          </cell>
          <cell r="E56">
            <v>0</v>
          </cell>
          <cell r="F56">
            <v>0</v>
          </cell>
          <cell r="G56">
            <v>35.604079263915573</v>
          </cell>
          <cell r="H56">
            <v>19.164908030335017</v>
          </cell>
          <cell r="I56">
            <v>0</v>
          </cell>
          <cell r="J56">
            <v>0</v>
          </cell>
          <cell r="O56">
            <v>0</v>
          </cell>
          <cell r="P56">
            <v>0</v>
          </cell>
          <cell r="Q56">
            <v>0</v>
          </cell>
          <cell r="R56">
            <v>6.7662878787878791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1.0097676767676769</v>
          </cell>
          <cell r="X56">
            <v>0</v>
          </cell>
          <cell r="Y56">
            <v>0</v>
          </cell>
          <cell r="AB56">
            <v>0</v>
          </cell>
          <cell r="AC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</row>
        <row r="57">
          <cell r="B57" t="str">
            <v>EQ17</v>
          </cell>
          <cell r="C57" t="str">
            <v>Quantidade</v>
          </cell>
          <cell r="F57">
            <v>2</v>
          </cell>
          <cell r="H57">
            <v>1</v>
          </cell>
          <cell r="K57">
            <v>93.127673543917169</v>
          </cell>
          <cell r="L57">
            <v>0.08</v>
          </cell>
          <cell r="M57">
            <v>7.4502138835133733</v>
          </cell>
          <cell r="N57">
            <v>100.57788742743054</v>
          </cell>
          <cell r="Q57">
            <v>1</v>
          </cell>
          <cell r="AD57">
            <v>5.955303030303031</v>
          </cell>
          <cell r="AG57">
            <v>1</v>
          </cell>
          <cell r="AT57">
            <v>24.231444883618799</v>
          </cell>
          <cell r="AV57">
            <v>130.76463534135237</v>
          </cell>
        </row>
        <row r="58">
          <cell r="C58" t="str">
            <v>Custo Total (R$/Hora)</v>
          </cell>
          <cell r="D58">
            <v>0</v>
          </cell>
          <cell r="E58">
            <v>0</v>
          </cell>
          <cell r="F58">
            <v>73.962765513582156</v>
          </cell>
          <cell r="G58">
            <v>0</v>
          </cell>
          <cell r="H58">
            <v>19.164908030335017</v>
          </cell>
          <cell r="I58">
            <v>0</v>
          </cell>
          <cell r="J58">
            <v>0</v>
          </cell>
          <cell r="O58">
            <v>0</v>
          </cell>
          <cell r="P58">
            <v>0</v>
          </cell>
          <cell r="Q58">
            <v>5.955303030303031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AB58">
            <v>0</v>
          </cell>
          <cell r="AC58">
            <v>0</v>
          </cell>
          <cell r="AE58">
            <v>0</v>
          </cell>
          <cell r="AF58">
            <v>0</v>
          </cell>
          <cell r="AG58">
            <v>24.231444883618799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</row>
        <row r="59">
          <cell r="B59" t="str">
            <v>EQ17_T</v>
          </cell>
          <cell r="C59" t="str">
            <v>Quantidade</v>
          </cell>
          <cell r="F59">
            <v>2</v>
          </cell>
          <cell r="H59">
            <v>1</v>
          </cell>
          <cell r="K59">
            <v>116.40959192989648</v>
          </cell>
          <cell r="L59">
            <v>0.08</v>
          </cell>
          <cell r="M59">
            <v>9.3127673543917187</v>
          </cell>
          <cell r="N59">
            <v>125.7223592842882</v>
          </cell>
          <cell r="Q59">
            <v>1</v>
          </cell>
          <cell r="AD59">
            <v>5.955303030303031</v>
          </cell>
          <cell r="AG59">
            <v>1</v>
          </cell>
          <cell r="AT59">
            <v>24.231444883618799</v>
          </cell>
          <cell r="AV59">
            <v>155.90910719821002</v>
          </cell>
        </row>
        <row r="60">
          <cell r="C60" t="str">
            <v>Custo Total (R$/Hora)</v>
          </cell>
          <cell r="D60">
            <v>0</v>
          </cell>
          <cell r="E60">
            <v>0</v>
          </cell>
          <cell r="F60">
            <v>92.453456891977709</v>
          </cell>
          <cell r="G60">
            <v>0</v>
          </cell>
          <cell r="H60">
            <v>23.95613503791877</v>
          </cell>
          <cell r="I60">
            <v>0</v>
          </cell>
          <cell r="J60">
            <v>0</v>
          </cell>
          <cell r="O60">
            <v>0</v>
          </cell>
          <cell r="P60">
            <v>0</v>
          </cell>
          <cell r="Q60">
            <v>5.955303030303031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E60">
            <v>0</v>
          </cell>
          <cell r="AF60">
            <v>0</v>
          </cell>
          <cell r="AG60">
            <v>24.231444883618799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</row>
        <row r="61">
          <cell r="B61" t="str">
            <v>EQ18</v>
          </cell>
          <cell r="C61" t="str">
            <v>Quantidade</v>
          </cell>
          <cell r="G61">
            <v>1</v>
          </cell>
          <cell r="H61">
            <v>1</v>
          </cell>
          <cell r="K61">
            <v>54.768987294250593</v>
          </cell>
          <cell r="L61">
            <v>0.08</v>
          </cell>
          <cell r="M61">
            <v>4.3815189835400474</v>
          </cell>
          <cell r="N61">
            <v>59.15050627779064</v>
          </cell>
          <cell r="S61">
            <v>1</v>
          </cell>
          <cell r="AD61">
            <v>12.267676767676768</v>
          </cell>
          <cell r="AT61">
            <v>0</v>
          </cell>
          <cell r="AV61">
            <v>71.418183045467401</v>
          </cell>
        </row>
        <row r="62">
          <cell r="C62" t="str">
            <v>Custo Total (R$/Hora)</v>
          </cell>
          <cell r="D62">
            <v>0</v>
          </cell>
          <cell r="E62">
            <v>0</v>
          </cell>
          <cell r="F62">
            <v>0</v>
          </cell>
          <cell r="G62">
            <v>35.604079263915573</v>
          </cell>
          <cell r="H62">
            <v>19.164908030335017</v>
          </cell>
          <cell r="I62">
            <v>0</v>
          </cell>
          <cell r="J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12.267676767676768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AB62">
            <v>0</v>
          </cell>
          <cell r="AC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</row>
        <row r="63">
          <cell r="B63" t="str">
            <v>EQ19</v>
          </cell>
          <cell r="C63" t="str">
            <v>Quantidade</v>
          </cell>
          <cell r="G63">
            <v>1</v>
          </cell>
          <cell r="H63">
            <v>1</v>
          </cell>
          <cell r="K63">
            <v>54.768987294250593</v>
          </cell>
          <cell r="L63">
            <v>0.08</v>
          </cell>
          <cell r="M63">
            <v>4.3815189835400474</v>
          </cell>
          <cell r="N63">
            <v>59.15050627779064</v>
          </cell>
          <cell r="AD63">
            <v>0</v>
          </cell>
          <cell r="AP63">
            <v>1</v>
          </cell>
          <cell r="AQ63">
            <v>1</v>
          </cell>
          <cell r="AT63">
            <v>29.683519982433026</v>
          </cell>
          <cell r="AV63">
            <v>88.834026260223666</v>
          </cell>
        </row>
        <row r="64">
          <cell r="C64" t="str">
            <v>Custo Total (R$/Hora)</v>
          </cell>
          <cell r="D64">
            <v>0</v>
          </cell>
          <cell r="E64">
            <v>0</v>
          </cell>
          <cell r="F64">
            <v>0</v>
          </cell>
          <cell r="G64">
            <v>35.604079263915573</v>
          </cell>
          <cell r="H64">
            <v>19.164908030335017</v>
          </cell>
          <cell r="I64">
            <v>0</v>
          </cell>
          <cell r="J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AB64">
            <v>0</v>
          </cell>
          <cell r="AC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18.173583662714098</v>
          </cell>
          <cell r="AQ64">
            <v>11.509936319718928</v>
          </cell>
          <cell r="AR64">
            <v>0</v>
          </cell>
          <cell r="AS64">
            <v>0</v>
          </cell>
        </row>
        <row r="65">
          <cell r="B65" t="str">
            <v>EQ19_T</v>
          </cell>
          <cell r="C65" t="str">
            <v>Quantidade</v>
          </cell>
          <cell r="G65">
            <v>1</v>
          </cell>
          <cell r="H65">
            <v>1</v>
          </cell>
          <cell r="K65">
            <v>68.461234117813234</v>
          </cell>
          <cell r="L65">
            <v>0.08</v>
          </cell>
          <cell r="M65">
            <v>5.4768987294250584</v>
          </cell>
          <cell r="N65">
            <v>73.938132847238293</v>
          </cell>
          <cell r="AD65">
            <v>0</v>
          </cell>
          <cell r="AP65">
            <v>1</v>
          </cell>
          <cell r="AQ65">
            <v>1</v>
          </cell>
          <cell r="AT65">
            <v>29.683519982433026</v>
          </cell>
          <cell r="AV65">
            <v>103.62165282967132</v>
          </cell>
        </row>
        <row r="66">
          <cell r="C66" t="str">
            <v>Custo Total (R$/Hora)</v>
          </cell>
          <cell r="D66">
            <v>0</v>
          </cell>
          <cell r="E66">
            <v>0</v>
          </cell>
          <cell r="F66">
            <v>0</v>
          </cell>
          <cell r="G66">
            <v>44.505099079894464</v>
          </cell>
          <cell r="H66">
            <v>23.95613503791877</v>
          </cell>
          <cell r="I66">
            <v>0</v>
          </cell>
          <cell r="J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18.173583662714098</v>
          </cell>
          <cell r="AQ66">
            <v>11.509936319718928</v>
          </cell>
          <cell r="AR66">
            <v>0</v>
          </cell>
          <cell r="AS66">
            <v>0</v>
          </cell>
        </row>
        <row r="67">
          <cell r="B67" t="str">
            <v>EQ20</v>
          </cell>
          <cell r="C67" t="str">
            <v>Quantidade</v>
          </cell>
          <cell r="K67">
            <v>0</v>
          </cell>
          <cell r="L67">
            <v>0.08</v>
          </cell>
          <cell r="M67">
            <v>0</v>
          </cell>
          <cell r="N67">
            <v>0</v>
          </cell>
          <cell r="AD67">
            <v>0</v>
          </cell>
          <cell r="AT67">
            <v>0</v>
          </cell>
          <cell r="AV67">
            <v>0</v>
          </cell>
        </row>
        <row r="68">
          <cell r="C68" t="str">
            <v>Custo Total (R$/Hora)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AB68">
            <v>0</v>
          </cell>
          <cell r="AC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</row>
        <row r="69">
          <cell r="B69" t="str">
            <v>EQ21</v>
          </cell>
          <cell r="C69" t="str">
            <v>Quantidade</v>
          </cell>
          <cell r="G69">
            <v>1</v>
          </cell>
          <cell r="H69">
            <v>1</v>
          </cell>
          <cell r="K69">
            <v>54.768987294250593</v>
          </cell>
          <cell r="L69">
            <v>0.08</v>
          </cell>
          <cell r="M69">
            <v>4.3815189835400474</v>
          </cell>
          <cell r="N69">
            <v>59.15050627779064</v>
          </cell>
          <cell r="T69">
            <v>1</v>
          </cell>
          <cell r="AD69">
            <v>21.484848484848484</v>
          </cell>
          <cell r="AR69">
            <v>1</v>
          </cell>
          <cell r="AT69">
            <v>3.0289306104523499</v>
          </cell>
          <cell r="AV69">
            <v>83.664285373091474</v>
          </cell>
        </row>
        <row r="70">
          <cell r="C70" t="str">
            <v>Custo Total (R$/Hora)</v>
          </cell>
          <cell r="D70">
            <v>0</v>
          </cell>
          <cell r="E70">
            <v>0</v>
          </cell>
          <cell r="F70">
            <v>0</v>
          </cell>
          <cell r="G70">
            <v>35.604079263915573</v>
          </cell>
          <cell r="H70">
            <v>19.164908030335017</v>
          </cell>
          <cell r="I70">
            <v>0</v>
          </cell>
          <cell r="J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21.484848484848484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AB70">
            <v>0</v>
          </cell>
          <cell r="AC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3.0289306104523499</v>
          </cell>
          <cell r="AS70">
            <v>0</v>
          </cell>
        </row>
        <row r="71">
          <cell r="B71" t="str">
            <v>EQ22</v>
          </cell>
          <cell r="C71" t="str">
            <v>Quantidade</v>
          </cell>
          <cell r="G71">
            <v>1</v>
          </cell>
          <cell r="H71">
            <v>2</v>
          </cell>
          <cell r="K71">
            <v>73.933895324585606</v>
          </cell>
          <cell r="L71">
            <v>0.08</v>
          </cell>
          <cell r="M71">
            <v>5.9147116259668486</v>
          </cell>
          <cell r="N71">
            <v>79.848606950552451</v>
          </cell>
          <cell r="T71">
            <v>1</v>
          </cell>
          <cell r="AD71">
            <v>21.484848484848484</v>
          </cell>
          <cell r="AN71">
            <v>1</v>
          </cell>
          <cell r="AT71">
            <v>18.779369784804569</v>
          </cell>
          <cell r="AV71">
            <v>120.11282522020551</v>
          </cell>
        </row>
        <row r="72">
          <cell r="C72" t="str">
            <v>Custo Total (R$/Hora)</v>
          </cell>
          <cell r="D72">
            <v>0</v>
          </cell>
          <cell r="E72">
            <v>0</v>
          </cell>
          <cell r="F72">
            <v>0</v>
          </cell>
          <cell r="G72">
            <v>35.604079263915573</v>
          </cell>
          <cell r="H72">
            <v>38.329816060670034</v>
          </cell>
          <cell r="I72">
            <v>0</v>
          </cell>
          <cell r="J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21.484848484848484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AB72">
            <v>0</v>
          </cell>
          <cell r="AC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18.779369784804569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</row>
        <row r="73">
          <cell r="B73" t="str">
            <v>EQ22_T</v>
          </cell>
          <cell r="C73" t="str">
            <v>Quantidade</v>
          </cell>
          <cell r="G73">
            <v>1</v>
          </cell>
          <cell r="H73">
            <v>2</v>
          </cell>
          <cell r="K73">
            <v>92.417369155732004</v>
          </cell>
          <cell r="L73">
            <v>0.08</v>
          </cell>
          <cell r="M73">
            <v>7.3933895324585608</v>
          </cell>
          <cell r="N73">
            <v>99.81075868819056</v>
          </cell>
          <cell r="T73">
            <v>1</v>
          </cell>
          <cell r="AD73">
            <v>21.484848484848484</v>
          </cell>
          <cell r="AN73">
            <v>1</v>
          </cell>
          <cell r="AT73">
            <v>18.779369784804569</v>
          </cell>
          <cell r="AV73">
            <v>140.0749769578436</v>
          </cell>
        </row>
        <row r="74">
          <cell r="C74" t="str">
            <v>Custo Total (R$/Hora)</v>
          </cell>
          <cell r="D74">
            <v>0</v>
          </cell>
          <cell r="E74">
            <v>0</v>
          </cell>
          <cell r="F74">
            <v>0</v>
          </cell>
          <cell r="G74">
            <v>44.505099079894464</v>
          </cell>
          <cell r="H74">
            <v>47.91227007583754</v>
          </cell>
          <cell r="I74">
            <v>0</v>
          </cell>
          <cell r="J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21.484848484848484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18.779369784804569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</row>
        <row r="75">
          <cell r="B75" t="str">
            <v>EQ23</v>
          </cell>
          <cell r="C75" t="str">
            <v>Quantidade</v>
          </cell>
          <cell r="F75">
            <v>2</v>
          </cell>
          <cell r="H75">
            <v>1</v>
          </cell>
          <cell r="K75">
            <v>93.127673543917169</v>
          </cell>
          <cell r="L75">
            <v>0.08</v>
          </cell>
          <cell r="M75">
            <v>7.4502138835133733</v>
          </cell>
          <cell r="N75">
            <v>100.57788742743054</v>
          </cell>
          <cell r="T75">
            <v>1</v>
          </cell>
          <cell r="AD75">
            <v>21.484848484848484</v>
          </cell>
          <cell r="AG75">
            <v>1</v>
          </cell>
          <cell r="AT75">
            <v>24.231444883618799</v>
          </cell>
          <cell r="AV75">
            <v>146.29418079589783</v>
          </cell>
        </row>
        <row r="76">
          <cell r="C76" t="str">
            <v>Custo Total (R$/Hora)</v>
          </cell>
          <cell r="D76">
            <v>0</v>
          </cell>
          <cell r="E76">
            <v>0</v>
          </cell>
          <cell r="F76">
            <v>73.962765513582156</v>
          </cell>
          <cell r="G76">
            <v>0</v>
          </cell>
          <cell r="H76">
            <v>19.164908030335017</v>
          </cell>
          <cell r="I76">
            <v>0</v>
          </cell>
          <cell r="J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21.484848484848484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AB76">
            <v>0</v>
          </cell>
          <cell r="AC76">
            <v>0</v>
          </cell>
          <cell r="AE76">
            <v>0</v>
          </cell>
          <cell r="AF76">
            <v>0</v>
          </cell>
          <cell r="AG76">
            <v>24.231444883618799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</row>
        <row r="77">
          <cell r="B77" t="str">
            <v>EQ23_T</v>
          </cell>
          <cell r="C77" t="str">
            <v>Quantidade</v>
          </cell>
          <cell r="F77">
            <v>2</v>
          </cell>
          <cell r="H77">
            <v>1</v>
          </cell>
          <cell r="K77">
            <v>116.40959192989648</v>
          </cell>
          <cell r="L77">
            <v>0.08</v>
          </cell>
          <cell r="M77">
            <v>9.3127673543917187</v>
          </cell>
          <cell r="N77">
            <v>125.7223592842882</v>
          </cell>
          <cell r="T77">
            <v>1</v>
          </cell>
          <cell r="AD77">
            <v>21.484848484848484</v>
          </cell>
          <cell r="AG77">
            <v>1</v>
          </cell>
          <cell r="AT77">
            <v>24.231444883618799</v>
          </cell>
          <cell r="AV77">
            <v>171.43865265275548</v>
          </cell>
        </row>
        <row r="78">
          <cell r="C78" t="str">
            <v>Custo Total (R$/Hora)</v>
          </cell>
          <cell r="D78">
            <v>0</v>
          </cell>
          <cell r="E78">
            <v>0</v>
          </cell>
          <cell r="F78">
            <v>92.453456891977709</v>
          </cell>
          <cell r="G78">
            <v>0</v>
          </cell>
          <cell r="H78">
            <v>23.95613503791877</v>
          </cell>
          <cell r="I78">
            <v>0</v>
          </cell>
          <cell r="J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21.484848484848484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E78">
            <v>0</v>
          </cell>
          <cell r="AF78">
            <v>0</v>
          </cell>
          <cell r="AG78">
            <v>24.231444883618799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</row>
        <row r="79">
          <cell r="B79" t="str">
            <v>EQ24</v>
          </cell>
          <cell r="C79" t="str">
            <v>Quantidade</v>
          </cell>
          <cell r="G79">
            <v>1</v>
          </cell>
          <cell r="H79">
            <v>1</v>
          </cell>
          <cell r="K79">
            <v>54.768987294250593</v>
          </cell>
          <cell r="L79">
            <v>0.08</v>
          </cell>
          <cell r="M79">
            <v>4.3815189835400474</v>
          </cell>
          <cell r="N79">
            <v>59.15050627779064</v>
          </cell>
          <cell r="R79">
            <v>1</v>
          </cell>
          <cell r="AD79">
            <v>6.7662878787878791</v>
          </cell>
          <cell r="AT79">
            <v>0</v>
          </cell>
          <cell r="AV79">
            <v>65.916794156578518</v>
          </cell>
        </row>
        <row r="80">
          <cell r="C80" t="str">
            <v>Custo Total (R$/Hora)</v>
          </cell>
          <cell r="D80">
            <v>0</v>
          </cell>
          <cell r="E80">
            <v>0</v>
          </cell>
          <cell r="F80">
            <v>0</v>
          </cell>
          <cell r="G80">
            <v>35.604079263915573</v>
          </cell>
          <cell r="H80">
            <v>19.164908030335017</v>
          </cell>
          <cell r="I80">
            <v>0</v>
          </cell>
          <cell r="J80">
            <v>0</v>
          </cell>
          <cell r="O80">
            <v>0</v>
          </cell>
          <cell r="P80">
            <v>0</v>
          </cell>
          <cell r="Q80">
            <v>0</v>
          </cell>
          <cell r="R80">
            <v>6.7662878787878791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AB80">
            <v>0</v>
          </cell>
          <cell r="AC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</row>
        <row r="81">
          <cell r="B81" t="str">
            <v>EQ24_T</v>
          </cell>
          <cell r="C81" t="str">
            <v>Quantidade</v>
          </cell>
          <cell r="G81">
            <v>1</v>
          </cell>
          <cell r="H81">
            <v>1</v>
          </cell>
          <cell r="K81">
            <v>68.461234117813234</v>
          </cell>
          <cell r="L81">
            <v>0.08</v>
          </cell>
          <cell r="M81">
            <v>5.4768987294250584</v>
          </cell>
          <cell r="N81">
            <v>73.938132847238293</v>
          </cell>
          <cell r="R81">
            <v>1</v>
          </cell>
          <cell r="AD81">
            <v>6.7662878787878791</v>
          </cell>
          <cell r="AT81">
            <v>0</v>
          </cell>
          <cell r="AV81">
            <v>80.704420726026171</v>
          </cell>
        </row>
        <row r="82">
          <cell r="C82" t="str">
            <v>Custo Total (R$/Hora)</v>
          </cell>
          <cell r="D82">
            <v>0</v>
          </cell>
          <cell r="E82">
            <v>0</v>
          </cell>
          <cell r="F82">
            <v>0</v>
          </cell>
          <cell r="G82">
            <v>44.505099079894464</v>
          </cell>
          <cell r="H82">
            <v>23.95613503791877</v>
          </cell>
          <cell r="I82">
            <v>0</v>
          </cell>
          <cell r="J82">
            <v>0</v>
          </cell>
          <cell r="O82">
            <v>0</v>
          </cell>
          <cell r="P82">
            <v>0</v>
          </cell>
          <cell r="Q82">
            <v>0</v>
          </cell>
          <cell r="R82">
            <v>6.7662878787878791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</row>
        <row r="83">
          <cell r="B83" t="str">
            <v>EQ25</v>
          </cell>
          <cell r="C83" t="str">
            <v>Quantidade</v>
          </cell>
          <cell r="I83">
            <v>1</v>
          </cell>
          <cell r="J83">
            <v>1</v>
          </cell>
          <cell r="K83">
            <v>162.29119215228502</v>
          </cell>
          <cell r="L83">
            <v>0.15</v>
          </cell>
          <cell r="M83">
            <v>24.343678822842751</v>
          </cell>
          <cell r="N83">
            <v>186.63487097512777</v>
          </cell>
          <cell r="P83">
            <v>1</v>
          </cell>
          <cell r="Q83">
            <v>1</v>
          </cell>
          <cell r="T83">
            <v>1</v>
          </cell>
          <cell r="U83">
            <v>1</v>
          </cell>
          <cell r="AD83">
            <v>43.080631313131313</v>
          </cell>
          <cell r="AG83">
            <v>1</v>
          </cell>
          <cell r="AT83">
            <v>24.231444883618799</v>
          </cell>
          <cell r="AV83">
            <v>253.94694717187787</v>
          </cell>
        </row>
        <row r="84">
          <cell r="C84" t="str">
            <v>Custo Total (R$/Hora)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63.933948941063235</v>
          </cell>
          <cell r="J84">
            <v>98.357243211221771</v>
          </cell>
          <cell r="O84">
            <v>0</v>
          </cell>
          <cell r="P84">
            <v>4.5877525252525251</v>
          </cell>
          <cell r="Q84">
            <v>5.955303030303031</v>
          </cell>
          <cell r="R84">
            <v>0</v>
          </cell>
          <cell r="S84">
            <v>0</v>
          </cell>
          <cell r="T84">
            <v>21.484848484848484</v>
          </cell>
          <cell r="U84">
            <v>11.052727272727273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AB84">
            <v>0</v>
          </cell>
          <cell r="AC84">
            <v>0</v>
          </cell>
          <cell r="AE84">
            <v>0</v>
          </cell>
          <cell r="AF84">
            <v>0</v>
          </cell>
          <cell r="AG84">
            <v>24.231444883618799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</row>
        <row r="85">
          <cell r="B85" t="str">
            <v>EQ26</v>
          </cell>
          <cell r="C85" t="str">
            <v>Quantidade</v>
          </cell>
          <cell r="G85">
            <v>1</v>
          </cell>
          <cell r="H85">
            <v>1</v>
          </cell>
          <cell r="K85">
            <v>54.768987294250593</v>
          </cell>
          <cell r="L85">
            <v>0.08</v>
          </cell>
          <cell r="M85">
            <v>4.3815189835400474</v>
          </cell>
          <cell r="N85">
            <v>59.15050627779064</v>
          </cell>
          <cell r="Z85">
            <v>1</v>
          </cell>
          <cell r="AD85">
            <v>45.719191919191914</v>
          </cell>
          <cell r="AT85">
            <v>0</v>
          </cell>
          <cell r="AV85">
            <v>104.86969819698255</v>
          </cell>
        </row>
        <row r="86">
          <cell r="C86" t="str">
            <v>Custo Total (R$/Hora)</v>
          </cell>
          <cell r="D86">
            <v>0</v>
          </cell>
          <cell r="E86">
            <v>0</v>
          </cell>
          <cell r="F86">
            <v>0</v>
          </cell>
          <cell r="G86">
            <v>35.604079263915573</v>
          </cell>
          <cell r="H86">
            <v>19.164908030335017</v>
          </cell>
          <cell r="I86">
            <v>0</v>
          </cell>
          <cell r="J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45.719191919191914</v>
          </cell>
          <cell r="AB86">
            <v>0</v>
          </cell>
          <cell r="AC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</row>
        <row r="87">
          <cell r="B87" t="str">
            <v>EQ26_T</v>
          </cell>
          <cell r="C87" t="str">
            <v>Quantidade</v>
          </cell>
          <cell r="G87">
            <v>1</v>
          </cell>
          <cell r="H87">
            <v>1</v>
          </cell>
          <cell r="K87">
            <v>68.461234117813234</v>
          </cell>
          <cell r="L87">
            <v>0.08</v>
          </cell>
          <cell r="M87">
            <v>5.4768987294250584</v>
          </cell>
          <cell r="N87">
            <v>73.938132847238293</v>
          </cell>
          <cell r="Z87">
            <v>1</v>
          </cell>
          <cell r="AD87">
            <v>45.719191919191914</v>
          </cell>
          <cell r="AT87">
            <v>0</v>
          </cell>
          <cell r="AV87">
            <v>119.65732476643021</v>
          </cell>
        </row>
        <row r="88">
          <cell r="C88" t="str">
            <v>Custo Total (R$/Hora)</v>
          </cell>
          <cell r="D88">
            <v>0</v>
          </cell>
          <cell r="E88">
            <v>0</v>
          </cell>
          <cell r="F88">
            <v>0</v>
          </cell>
          <cell r="G88">
            <v>44.505099079894464</v>
          </cell>
          <cell r="H88">
            <v>23.95613503791877</v>
          </cell>
          <cell r="I88">
            <v>0</v>
          </cell>
          <cell r="J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45.719191919191914</v>
          </cell>
          <cell r="AA88">
            <v>0</v>
          </cell>
          <cell r="AB88">
            <v>0</v>
          </cell>
          <cell r="AC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</row>
        <row r="89">
          <cell r="B89" t="str">
            <v>EQ27</v>
          </cell>
          <cell r="C89" t="str">
            <v>Quantidade</v>
          </cell>
          <cell r="G89">
            <v>2</v>
          </cell>
          <cell r="H89">
            <v>2</v>
          </cell>
          <cell r="K89">
            <v>109.53797458850119</v>
          </cell>
          <cell r="L89">
            <v>0.08</v>
          </cell>
          <cell r="M89">
            <v>8.7630379670800949</v>
          </cell>
          <cell r="N89">
            <v>118.30101255558128</v>
          </cell>
          <cell r="S89">
            <v>1</v>
          </cell>
          <cell r="AD89">
            <v>12.267676767676768</v>
          </cell>
          <cell r="AJ89">
            <v>1</v>
          </cell>
          <cell r="AN89">
            <v>1</v>
          </cell>
          <cell r="AT89">
            <v>28.774840799297323</v>
          </cell>
          <cell r="AV89">
            <v>159.34353012255536</v>
          </cell>
        </row>
        <row r="90">
          <cell r="C90" t="str">
            <v>Custo Total (R$/Hora)</v>
          </cell>
          <cell r="D90">
            <v>0</v>
          </cell>
          <cell r="E90">
            <v>0</v>
          </cell>
          <cell r="F90">
            <v>0</v>
          </cell>
          <cell r="G90">
            <v>71.208158527831145</v>
          </cell>
          <cell r="H90">
            <v>38.329816060670034</v>
          </cell>
          <cell r="I90">
            <v>0</v>
          </cell>
          <cell r="J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12.267676767676768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AB90">
            <v>0</v>
          </cell>
          <cell r="AC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9.9954710144927539</v>
          </cell>
          <cell r="AK90">
            <v>0</v>
          </cell>
          <cell r="AL90">
            <v>0</v>
          </cell>
          <cell r="AM90">
            <v>0</v>
          </cell>
          <cell r="AN90">
            <v>18.779369784804569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</row>
        <row r="91">
          <cell r="B91" t="str">
            <v>EQ27_T</v>
          </cell>
          <cell r="C91" t="str">
            <v>Quantidade</v>
          </cell>
          <cell r="G91">
            <v>2</v>
          </cell>
          <cell r="H91">
            <v>2</v>
          </cell>
          <cell r="K91">
            <v>136.92246823562647</v>
          </cell>
          <cell r="L91">
            <v>0.08</v>
          </cell>
          <cell r="M91">
            <v>10.953797458850117</v>
          </cell>
          <cell r="N91">
            <v>147.87626569447659</v>
          </cell>
          <cell r="S91">
            <v>1</v>
          </cell>
          <cell r="AD91">
            <v>12.267676767676768</v>
          </cell>
          <cell r="AJ91">
            <v>1</v>
          </cell>
          <cell r="AN91">
            <v>1</v>
          </cell>
          <cell r="AT91">
            <v>28.774840799297323</v>
          </cell>
          <cell r="AV91">
            <v>188.91878326145067</v>
          </cell>
        </row>
        <row r="92">
          <cell r="C92" t="str">
            <v>Custo Total (R$/Hora)</v>
          </cell>
          <cell r="D92">
            <v>0</v>
          </cell>
          <cell r="E92">
            <v>0</v>
          </cell>
          <cell r="F92">
            <v>0</v>
          </cell>
          <cell r="G92">
            <v>89.010198159788928</v>
          </cell>
          <cell r="H92">
            <v>47.91227007583754</v>
          </cell>
          <cell r="I92">
            <v>0</v>
          </cell>
          <cell r="J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12.267676767676768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9.9954710144927539</v>
          </cell>
          <cell r="AK92">
            <v>0</v>
          </cell>
          <cell r="AL92">
            <v>0</v>
          </cell>
          <cell r="AM92">
            <v>0</v>
          </cell>
          <cell r="AN92">
            <v>18.779369784804569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</row>
        <row r="93">
          <cell r="B93" t="str">
            <v>EQ28</v>
          </cell>
          <cell r="C93" t="str">
            <v>Quantidade</v>
          </cell>
          <cell r="F93">
            <v>1</v>
          </cell>
          <cell r="H93">
            <v>1</v>
          </cell>
          <cell r="K93">
            <v>56.146290787126091</v>
          </cell>
          <cell r="L93">
            <v>0.08</v>
          </cell>
          <cell r="M93">
            <v>4.4917032629700877</v>
          </cell>
          <cell r="N93">
            <v>60.637994050096182</v>
          </cell>
          <cell r="P93">
            <v>1</v>
          </cell>
          <cell r="AD93">
            <v>4.5877525252525251</v>
          </cell>
          <cell r="AT93">
            <v>0</v>
          </cell>
          <cell r="AV93">
            <v>65.225746575348708</v>
          </cell>
        </row>
        <row r="94">
          <cell r="C94" t="str">
            <v>Custo Total (R$/Hora)</v>
          </cell>
          <cell r="D94">
            <v>0</v>
          </cell>
          <cell r="E94">
            <v>0</v>
          </cell>
          <cell r="F94">
            <v>36.981382756791078</v>
          </cell>
          <cell r="G94">
            <v>0</v>
          </cell>
          <cell r="H94">
            <v>19.164908030335017</v>
          </cell>
          <cell r="I94">
            <v>0</v>
          </cell>
          <cell r="J94">
            <v>0</v>
          </cell>
          <cell r="O94">
            <v>0</v>
          </cell>
          <cell r="P94">
            <v>4.5877525252525251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AB94">
            <v>0</v>
          </cell>
          <cell r="AC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</row>
        <row r="95">
          <cell r="B95" t="str">
            <v>EQ29</v>
          </cell>
          <cell r="C95" t="str">
            <v>Quantidade</v>
          </cell>
          <cell r="F95">
            <v>1</v>
          </cell>
          <cell r="G95">
            <v>1</v>
          </cell>
          <cell r="H95">
            <v>1</v>
          </cell>
          <cell r="K95">
            <v>91.750370051041656</v>
          </cell>
          <cell r="L95">
            <v>0.08</v>
          </cell>
          <cell r="M95">
            <v>7.340029604083333</v>
          </cell>
          <cell r="N95">
            <v>99.090399655124983</v>
          </cell>
          <cell r="P95">
            <v>1</v>
          </cell>
          <cell r="AD95">
            <v>4.5877525252525251</v>
          </cell>
          <cell r="AT95">
            <v>0</v>
          </cell>
          <cell r="AV95">
            <v>103.67815218037751</v>
          </cell>
        </row>
        <row r="96">
          <cell r="C96" t="str">
            <v>Custo Total (R$/Hora)</v>
          </cell>
          <cell r="D96">
            <v>0</v>
          </cell>
          <cell r="E96">
            <v>0</v>
          </cell>
          <cell r="F96">
            <v>36.981382756791078</v>
          </cell>
          <cell r="G96">
            <v>35.604079263915573</v>
          </cell>
          <cell r="H96">
            <v>19.164908030335017</v>
          </cell>
          <cell r="I96">
            <v>0</v>
          </cell>
          <cell r="J96">
            <v>0</v>
          </cell>
          <cell r="O96">
            <v>0</v>
          </cell>
          <cell r="P96">
            <v>4.5877525252525251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AB96">
            <v>0</v>
          </cell>
          <cell r="AC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</row>
        <row r="97">
          <cell r="B97" t="str">
            <v>EQ30</v>
          </cell>
          <cell r="C97" t="str">
            <v>Quantidade</v>
          </cell>
          <cell r="G97">
            <v>1</v>
          </cell>
          <cell r="H97">
            <v>1</v>
          </cell>
          <cell r="K97">
            <v>54.768987294250593</v>
          </cell>
          <cell r="L97">
            <v>0.08</v>
          </cell>
          <cell r="M97">
            <v>4.3815189835400474</v>
          </cell>
          <cell r="N97">
            <v>59.15050627779064</v>
          </cell>
          <cell r="Y97">
            <v>1</v>
          </cell>
          <cell r="AD97">
            <v>52.119191919191913</v>
          </cell>
          <cell r="AT97">
            <v>0</v>
          </cell>
          <cell r="AV97">
            <v>111.26969819698255</v>
          </cell>
        </row>
        <row r="98">
          <cell r="C98" t="str">
            <v>Custo Total (R$/Hora)</v>
          </cell>
          <cell r="D98">
            <v>0</v>
          </cell>
          <cell r="E98">
            <v>0</v>
          </cell>
          <cell r="F98">
            <v>0</v>
          </cell>
          <cell r="G98">
            <v>35.604079263915573</v>
          </cell>
          <cell r="H98">
            <v>19.164908030335017</v>
          </cell>
          <cell r="I98">
            <v>0</v>
          </cell>
          <cell r="J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52.119191919191913</v>
          </cell>
          <cell r="AB98">
            <v>0</v>
          </cell>
          <cell r="AC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</row>
        <row r="99">
          <cell r="B99" t="str">
            <v>EQ31</v>
          </cell>
          <cell r="C99" t="str">
            <v>Quantidade</v>
          </cell>
          <cell r="G99">
            <v>1</v>
          </cell>
          <cell r="H99">
            <v>1</v>
          </cell>
          <cell r="K99">
            <v>54.768987294250593</v>
          </cell>
          <cell r="L99">
            <v>0.08</v>
          </cell>
          <cell r="M99">
            <v>4.3815189835400474</v>
          </cell>
          <cell r="N99">
            <v>59.15050627779064</v>
          </cell>
          <cell r="X99">
            <v>1</v>
          </cell>
          <cell r="AD99">
            <v>22.620833333333334</v>
          </cell>
          <cell r="AT99">
            <v>0</v>
          </cell>
          <cell r="AV99">
            <v>81.771339611123977</v>
          </cell>
        </row>
        <row r="100">
          <cell r="C100" t="str">
            <v>Custo Total (R$/Hora)</v>
          </cell>
          <cell r="D100">
            <v>0</v>
          </cell>
          <cell r="E100">
            <v>0</v>
          </cell>
          <cell r="F100">
            <v>0</v>
          </cell>
          <cell r="G100">
            <v>35.604079263915573</v>
          </cell>
          <cell r="H100">
            <v>19.164908030335017</v>
          </cell>
          <cell r="I100">
            <v>0</v>
          </cell>
          <cell r="J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22.620833333333334</v>
          </cell>
          <cell r="Y100">
            <v>0</v>
          </cell>
          <cell r="AB100">
            <v>0</v>
          </cell>
          <cell r="AC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</row>
        <row r="101">
          <cell r="B101" t="str">
            <v>EQ32</v>
          </cell>
          <cell r="C101" t="str">
            <v>Quantidade</v>
          </cell>
          <cell r="K101">
            <v>0</v>
          </cell>
          <cell r="L101">
            <v>0.08</v>
          </cell>
          <cell r="M101">
            <v>0</v>
          </cell>
          <cell r="N101">
            <v>0</v>
          </cell>
          <cell r="AD101">
            <v>0</v>
          </cell>
          <cell r="AT101">
            <v>0</v>
          </cell>
          <cell r="AV101">
            <v>0</v>
          </cell>
        </row>
        <row r="102">
          <cell r="C102" t="str">
            <v>Custo Total (R$/Hora)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AB102">
            <v>0</v>
          </cell>
          <cell r="AC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</row>
        <row r="105">
          <cell r="B105" t="str">
            <v>EQUIPES COM TURNO</v>
          </cell>
          <cell r="C105" t="str">
            <v>Custo Unitário 6h (R$/Hora)</v>
          </cell>
          <cell r="D105">
            <v>52.209446092530392</v>
          </cell>
          <cell r="E105">
            <v>52.209446092530392</v>
          </cell>
          <cell r="F105">
            <v>46.226728445988854</v>
          </cell>
          <cell r="G105">
            <v>44.505099079894464</v>
          </cell>
          <cell r="H105">
            <v>23.95613503791877</v>
          </cell>
          <cell r="I105">
            <v>79.917436176329048</v>
          </cell>
          <cell r="J105">
            <v>122.94655401402721</v>
          </cell>
          <cell r="K105" t="str">
            <v>Mão de Obra</v>
          </cell>
          <cell r="L105" t="str">
            <v>% EPI + EPC</v>
          </cell>
          <cell r="M105" t="str">
            <v>Custo EPI + EPC</v>
          </cell>
          <cell r="N105" t="str">
            <v>Mão de Obra Total</v>
          </cell>
          <cell r="O105">
            <v>4.4077525252525254</v>
          </cell>
          <cell r="P105">
            <v>4.5877525252525251</v>
          </cell>
          <cell r="Q105">
            <v>5.955303030303031</v>
          </cell>
          <cell r="R105">
            <v>6.7662878787878791</v>
          </cell>
          <cell r="S105">
            <v>12.267676767676768</v>
          </cell>
          <cell r="T105">
            <v>21.484848484848484</v>
          </cell>
          <cell r="U105">
            <v>11.052727272727273</v>
          </cell>
          <cell r="V105">
            <v>2.2656969696969695</v>
          </cell>
          <cell r="W105">
            <v>1.0097676767676769</v>
          </cell>
          <cell r="X105">
            <v>22.620833333333334</v>
          </cell>
          <cell r="Y105">
            <v>52.119191919191913</v>
          </cell>
          <cell r="Z105">
            <v>45.719191919191914</v>
          </cell>
          <cell r="AA105">
            <v>0</v>
          </cell>
          <cell r="AB105">
            <v>0</v>
          </cell>
          <cell r="AC105">
            <v>0</v>
          </cell>
          <cell r="AD105" t="str">
            <v>Veículo</v>
          </cell>
          <cell r="AE105">
            <v>0.51491820377689945</v>
          </cell>
          <cell r="AF105">
            <v>2.6654589371980677</v>
          </cell>
          <cell r="AG105">
            <v>24.231444883618799</v>
          </cell>
          <cell r="AH105">
            <v>28.774840799297323</v>
          </cell>
          <cell r="AI105">
            <v>51.491820377689947</v>
          </cell>
          <cell r="AJ105">
            <v>9.9954710144927539</v>
          </cell>
          <cell r="AK105">
            <v>19.990942028985508</v>
          </cell>
          <cell r="AL105">
            <v>3.6347167325428191E-2</v>
          </cell>
          <cell r="AM105">
            <v>0</v>
          </cell>
          <cell r="AN105">
            <v>18.779369784804569</v>
          </cell>
          <cell r="AO105">
            <v>6.0578612209046998</v>
          </cell>
          <cell r="AP105">
            <v>18.173583662714098</v>
          </cell>
          <cell r="AQ105">
            <v>11.509936319718928</v>
          </cell>
          <cell r="AR105">
            <v>3.0289306104523499</v>
          </cell>
          <cell r="AS105">
            <v>0</v>
          </cell>
          <cell r="AT105" t="str">
            <v>Máquinas</v>
          </cell>
          <cell r="AV105" t="str">
            <v>EQUIPE</v>
          </cell>
        </row>
      </sheetData>
      <sheetData sheetId="4">
        <row r="13">
          <cell r="C13" t="str">
            <v>Veículo Leve Administrativo</v>
          </cell>
          <cell r="D13">
            <v>25000</v>
          </cell>
          <cell r="E13">
            <v>0</v>
          </cell>
          <cell r="F13">
            <v>0</v>
          </cell>
          <cell r="G13">
            <v>4</v>
          </cell>
          <cell r="H13">
            <v>5</v>
          </cell>
          <cell r="I13">
            <v>22000</v>
          </cell>
          <cell r="J13">
            <v>15</v>
          </cell>
          <cell r="K13" t="str">
            <v>Gasolina</v>
          </cell>
          <cell r="L13">
            <v>2.7</v>
          </cell>
          <cell r="M13">
            <v>0.05</v>
          </cell>
          <cell r="N13">
            <v>0.06</v>
          </cell>
          <cell r="O13">
            <v>3000</v>
          </cell>
          <cell r="Q13">
            <v>3960.0000000000005</v>
          </cell>
          <cell r="R13">
            <v>1250</v>
          </cell>
          <cell r="S13">
            <v>1500</v>
          </cell>
          <cell r="T13">
            <v>6513.257575757576</v>
          </cell>
          <cell r="U13">
            <v>13223.257575757576</v>
          </cell>
          <cell r="V13">
            <v>1101.9381313131314</v>
          </cell>
          <cell r="W13">
            <v>4.4077525252525254</v>
          </cell>
        </row>
        <row r="14">
          <cell r="C14" t="str">
            <v>Veículo Leve Operacional</v>
          </cell>
          <cell r="D14">
            <v>25000</v>
          </cell>
          <cell r="E14">
            <v>0</v>
          </cell>
          <cell r="F14">
            <v>0</v>
          </cell>
          <cell r="G14">
            <v>4</v>
          </cell>
          <cell r="H14">
            <v>5</v>
          </cell>
          <cell r="I14">
            <v>25000</v>
          </cell>
          <cell r="J14">
            <v>15</v>
          </cell>
          <cell r="K14" t="str">
            <v>Gasolina</v>
          </cell>
          <cell r="L14">
            <v>2.7</v>
          </cell>
          <cell r="M14">
            <v>0.05</v>
          </cell>
          <cell r="N14">
            <v>0.06</v>
          </cell>
          <cell r="O14">
            <v>3000</v>
          </cell>
          <cell r="Q14">
            <v>4500.0000000000009</v>
          </cell>
          <cell r="R14">
            <v>1250</v>
          </cell>
          <cell r="S14">
            <v>1500</v>
          </cell>
          <cell r="T14">
            <v>6513.257575757576</v>
          </cell>
          <cell r="U14">
            <v>13763.257575757576</v>
          </cell>
          <cell r="V14">
            <v>1146.9381313131314</v>
          </cell>
          <cell r="W14">
            <v>4.5877525252525251</v>
          </cell>
        </row>
        <row r="15">
          <cell r="C15" t="str">
            <v>Veículo Leve tipo Pick-Up</v>
          </cell>
          <cell r="D15">
            <v>30000</v>
          </cell>
          <cell r="E15">
            <v>0</v>
          </cell>
          <cell r="F15">
            <v>0</v>
          </cell>
          <cell r="G15">
            <v>2</v>
          </cell>
          <cell r="H15">
            <v>5</v>
          </cell>
          <cell r="I15">
            <v>25000</v>
          </cell>
          <cell r="J15">
            <v>10</v>
          </cell>
          <cell r="K15" t="str">
            <v>Gasolina</v>
          </cell>
          <cell r="L15">
            <v>2.7</v>
          </cell>
          <cell r="M15">
            <v>0.05</v>
          </cell>
          <cell r="N15">
            <v>0.06</v>
          </cell>
          <cell r="O15">
            <v>3000</v>
          </cell>
          <cell r="Q15">
            <v>6750</v>
          </cell>
          <cell r="R15">
            <v>1500</v>
          </cell>
          <cell r="S15">
            <v>1800</v>
          </cell>
          <cell r="T15">
            <v>7815.909090909091</v>
          </cell>
          <cell r="U15">
            <v>17865.909090909092</v>
          </cell>
          <cell r="V15">
            <v>1488.8257575757577</v>
          </cell>
          <cell r="W15">
            <v>5.955303030303031</v>
          </cell>
        </row>
        <row r="16">
          <cell r="C16" t="str">
            <v>Veículo Médio tipo Pick-Up</v>
          </cell>
          <cell r="D16">
            <v>45000</v>
          </cell>
          <cell r="E16">
            <v>0</v>
          </cell>
          <cell r="F16">
            <v>0</v>
          </cell>
          <cell r="G16">
            <v>2</v>
          </cell>
          <cell r="H16">
            <v>8</v>
          </cell>
          <cell r="I16">
            <v>20000</v>
          </cell>
          <cell r="J16">
            <v>8</v>
          </cell>
          <cell r="K16" t="str">
            <v>Diesel</v>
          </cell>
          <cell r="L16">
            <v>1.9</v>
          </cell>
          <cell r="M16">
            <v>0.1</v>
          </cell>
          <cell r="N16">
            <v>0.06</v>
          </cell>
          <cell r="O16">
            <v>3000</v>
          </cell>
          <cell r="Q16">
            <v>4750</v>
          </cell>
          <cell r="R16">
            <v>4500</v>
          </cell>
          <cell r="S16">
            <v>2700</v>
          </cell>
          <cell r="T16">
            <v>8348.863636363636</v>
          </cell>
          <cell r="U16">
            <v>20298.863636363636</v>
          </cell>
          <cell r="V16">
            <v>1691.5719696969697</v>
          </cell>
          <cell r="W16">
            <v>6.7662878787878791</v>
          </cell>
        </row>
        <row r="17">
          <cell r="C17" t="str">
            <v>Caminhão Leve</v>
          </cell>
          <cell r="D17">
            <v>100000</v>
          </cell>
          <cell r="E17">
            <v>0</v>
          </cell>
          <cell r="F17">
            <v>0</v>
          </cell>
          <cell r="G17">
            <v>3</v>
          </cell>
          <cell r="H17">
            <v>10</v>
          </cell>
          <cell r="I17">
            <v>15000</v>
          </cell>
          <cell r="J17">
            <v>6</v>
          </cell>
          <cell r="K17" t="str">
            <v>Diesel</v>
          </cell>
          <cell r="L17">
            <v>1.9</v>
          </cell>
          <cell r="M17">
            <v>0.1</v>
          </cell>
          <cell r="N17">
            <v>0.06</v>
          </cell>
          <cell r="O17">
            <v>3000</v>
          </cell>
          <cell r="Q17">
            <v>4750</v>
          </cell>
          <cell r="R17">
            <v>10000</v>
          </cell>
          <cell r="S17">
            <v>6000</v>
          </cell>
          <cell r="T17">
            <v>16053.030303030304</v>
          </cell>
          <cell r="U17">
            <v>36803.030303030304</v>
          </cell>
          <cell r="V17">
            <v>3066.9191919191921</v>
          </cell>
          <cell r="W17">
            <v>12.267676767676768</v>
          </cell>
        </row>
        <row r="18">
          <cell r="C18" t="str">
            <v>Caminhão Pesado</v>
          </cell>
          <cell r="D18">
            <v>150000</v>
          </cell>
          <cell r="E18">
            <v>0</v>
          </cell>
          <cell r="F18">
            <v>0</v>
          </cell>
          <cell r="G18">
            <v>3</v>
          </cell>
          <cell r="H18">
            <v>15</v>
          </cell>
          <cell r="I18">
            <v>45000</v>
          </cell>
          <cell r="J18">
            <v>4</v>
          </cell>
          <cell r="K18" t="str">
            <v>Diesel</v>
          </cell>
          <cell r="L18">
            <v>1.9</v>
          </cell>
          <cell r="M18">
            <v>0.1</v>
          </cell>
          <cell r="N18">
            <v>0.06</v>
          </cell>
          <cell r="O18">
            <v>3000</v>
          </cell>
          <cell r="Q18">
            <v>21375</v>
          </cell>
          <cell r="R18">
            <v>15000</v>
          </cell>
          <cell r="S18">
            <v>9000</v>
          </cell>
          <cell r="T18">
            <v>19079.545454545456</v>
          </cell>
          <cell r="U18">
            <v>64454.545454545456</v>
          </cell>
          <cell r="V18">
            <v>5371.212121212121</v>
          </cell>
          <cell r="W18">
            <v>21.484848484848484</v>
          </cell>
        </row>
        <row r="19">
          <cell r="C19" t="str">
            <v>Utilitário - Van</v>
          </cell>
          <cell r="D19">
            <v>45000</v>
          </cell>
          <cell r="E19">
            <v>0</v>
          </cell>
          <cell r="F19">
            <v>0</v>
          </cell>
          <cell r="G19">
            <v>10</v>
          </cell>
          <cell r="H19">
            <v>5</v>
          </cell>
          <cell r="I19">
            <v>15000</v>
          </cell>
          <cell r="J19">
            <v>10</v>
          </cell>
          <cell r="K19" t="str">
            <v>Gasolina</v>
          </cell>
          <cell r="L19">
            <v>2.7</v>
          </cell>
          <cell r="M19">
            <v>0.05</v>
          </cell>
          <cell r="N19">
            <v>0.06</v>
          </cell>
          <cell r="O19">
            <v>1875</v>
          </cell>
          <cell r="Q19">
            <v>4050.0000000000005</v>
          </cell>
          <cell r="R19">
            <v>2250</v>
          </cell>
          <cell r="S19">
            <v>2700</v>
          </cell>
          <cell r="T19">
            <v>11723.863636363636</v>
          </cell>
          <cell r="U19">
            <v>20723.863636363636</v>
          </cell>
          <cell r="V19">
            <v>1726.9886363636363</v>
          </cell>
          <cell r="W19">
            <v>11.052727272727273</v>
          </cell>
        </row>
        <row r="20">
          <cell r="C20" t="str">
            <v>Motocicleta</v>
          </cell>
          <cell r="D20">
            <v>6000</v>
          </cell>
          <cell r="E20">
            <v>0</v>
          </cell>
          <cell r="F20">
            <v>0</v>
          </cell>
          <cell r="G20">
            <v>1</v>
          </cell>
          <cell r="H20">
            <v>5</v>
          </cell>
          <cell r="I20">
            <v>30000</v>
          </cell>
          <cell r="J20">
            <v>40</v>
          </cell>
          <cell r="K20" t="str">
            <v>Gasolina</v>
          </cell>
          <cell r="L20">
            <v>2.7</v>
          </cell>
          <cell r="M20">
            <v>0.05</v>
          </cell>
          <cell r="N20">
            <v>0.06</v>
          </cell>
          <cell r="O20">
            <v>1875</v>
          </cell>
          <cell r="Q20">
            <v>2025.0000000000002</v>
          </cell>
          <cell r="R20">
            <v>300</v>
          </cell>
          <cell r="S20">
            <v>360</v>
          </cell>
          <cell r="T20">
            <v>1563.1818181818182</v>
          </cell>
          <cell r="U20">
            <v>4248.181818181818</v>
          </cell>
          <cell r="V20">
            <v>354.0151515151515</v>
          </cell>
          <cell r="W20">
            <v>2.2656969696969695</v>
          </cell>
        </row>
        <row r="21">
          <cell r="C21" t="str">
            <v>Lancha</v>
          </cell>
          <cell r="D21">
            <v>10000</v>
          </cell>
          <cell r="E21">
            <v>0</v>
          </cell>
          <cell r="F21">
            <v>0</v>
          </cell>
          <cell r="G21">
            <v>4</v>
          </cell>
          <cell r="H21">
            <v>10</v>
          </cell>
          <cell r="I21">
            <v>1200</v>
          </cell>
          <cell r="J21">
            <v>10</v>
          </cell>
          <cell r="K21" t="str">
            <v>Gasolina</v>
          </cell>
          <cell r="L21">
            <v>2.7</v>
          </cell>
          <cell r="M21">
            <v>0.05</v>
          </cell>
          <cell r="N21">
            <v>0.06</v>
          </cell>
          <cell r="O21">
            <v>3000</v>
          </cell>
          <cell r="Q21">
            <v>324</v>
          </cell>
          <cell r="R21">
            <v>500</v>
          </cell>
          <cell r="S21">
            <v>600</v>
          </cell>
          <cell r="T21">
            <v>1605.3030303030305</v>
          </cell>
          <cell r="U21">
            <v>3029.3030303030305</v>
          </cell>
          <cell r="V21">
            <v>252.4419191919192</v>
          </cell>
          <cell r="W21">
            <v>1.0097676767676769</v>
          </cell>
        </row>
        <row r="22">
          <cell r="C22" t="str">
            <v>Caminhão Basculante</v>
          </cell>
          <cell r="D22">
            <v>150000</v>
          </cell>
          <cell r="E22">
            <v>15000</v>
          </cell>
          <cell r="F22">
            <v>0</v>
          </cell>
          <cell r="G22">
            <v>3</v>
          </cell>
          <cell r="H22">
            <v>15</v>
          </cell>
          <cell r="I22">
            <v>45000</v>
          </cell>
          <cell r="J22">
            <v>4</v>
          </cell>
          <cell r="K22" t="str">
            <v>Diesel</v>
          </cell>
          <cell r="L22">
            <v>1.9</v>
          </cell>
          <cell r="M22">
            <v>0.1</v>
          </cell>
          <cell r="N22">
            <v>0.06</v>
          </cell>
          <cell r="O22">
            <v>3000</v>
          </cell>
          <cell r="Q22">
            <v>21375</v>
          </cell>
          <cell r="R22">
            <v>16500</v>
          </cell>
          <cell r="S22">
            <v>9000</v>
          </cell>
          <cell r="T22">
            <v>20987.5</v>
          </cell>
          <cell r="U22">
            <v>67862.5</v>
          </cell>
          <cell r="V22">
            <v>5655.208333333333</v>
          </cell>
          <cell r="W22">
            <v>22.620833333333334</v>
          </cell>
        </row>
        <row r="23">
          <cell r="C23" t="str">
            <v>Caminhão Munck</v>
          </cell>
          <cell r="D23">
            <v>470000</v>
          </cell>
          <cell r="E23">
            <v>0</v>
          </cell>
          <cell r="F23">
            <v>0</v>
          </cell>
          <cell r="G23">
            <v>3</v>
          </cell>
          <cell r="H23">
            <v>15</v>
          </cell>
          <cell r="I23">
            <v>45000</v>
          </cell>
          <cell r="J23">
            <v>4</v>
          </cell>
          <cell r="K23" t="str">
            <v>Diesel</v>
          </cell>
          <cell r="L23">
            <v>1.9</v>
          </cell>
          <cell r="M23">
            <v>0.1</v>
          </cell>
          <cell r="N23">
            <v>0.06</v>
          </cell>
          <cell r="O23">
            <v>3000</v>
          </cell>
          <cell r="Q23">
            <v>21375</v>
          </cell>
          <cell r="R23">
            <v>47000</v>
          </cell>
          <cell r="S23">
            <v>28200</v>
          </cell>
          <cell r="T23">
            <v>59782.57575757576</v>
          </cell>
          <cell r="U23">
            <v>156357.57575757575</v>
          </cell>
          <cell r="V23">
            <v>13029.797979797979</v>
          </cell>
          <cell r="W23">
            <v>52.119191919191913</v>
          </cell>
        </row>
        <row r="24">
          <cell r="C24" t="str">
            <v>Caminhão Pipa</v>
          </cell>
          <cell r="D24">
            <v>150000</v>
          </cell>
          <cell r="E24">
            <v>320000</v>
          </cell>
          <cell r="F24">
            <v>0</v>
          </cell>
          <cell r="G24">
            <v>3</v>
          </cell>
          <cell r="H24">
            <v>15</v>
          </cell>
          <cell r="I24">
            <v>45000</v>
          </cell>
          <cell r="J24">
            <v>4</v>
          </cell>
          <cell r="K24" t="str">
            <v>Diesel</v>
          </cell>
          <cell r="L24">
            <v>1.9</v>
          </cell>
          <cell r="M24">
            <v>0.1</v>
          </cell>
          <cell r="N24">
            <v>0.06</v>
          </cell>
          <cell r="O24">
            <v>3000</v>
          </cell>
          <cell r="Q24">
            <v>21375</v>
          </cell>
          <cell r="R24">
            <v>47000</v>
          </cell>
          <cell r="S24">
            <v>9000</v>
          </cell>
          <cell r="T24">
            <v>59782.57575757576</v>
          </cell>
          <cell r="U24">
            <v>137157.57575757575</v>
          </cell>
          <cell r="V24">
            <v>11429.797979797979</v>
          </cell>
          <cell r="W24">
            <v>45.719191919191914</v>
          </cell>
        </row>
        <row r="25">
          <cell r="E25">
            <v>0</v>
          </cell>
          <cell r="F25">
            <v>0</v>
          </cell>
          <cell r="L25">
            <v>0</v>
          </cell>
          <cell r="O25">
            <v>3000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E26">
            <v>0</v>
          </cell>
          <cell r="F26">
            <v>0</v>
          </cell>
          <cell r="L26">
            <v>0</v>
          </cell>
          <cell r="O26">
            <v>3000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E27">
            <v>0</v>
          </cell>
          <cell r="F27">
            <v>0</v>
          </cell>
          <cell r="L27">
            <v>0</v>
          </cell>
          <cell r="O27">
            <v>3000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33">
          <cell r="C33" t="str">
            <v>Compressor</v>
          </cell>
          <cell r="D33">
            <v>8500</v>
          </cell>
          <cell r="E33">
            <v>0</v>
          </cell>
          <cell r="F33">
            <v>0</v>
          </cell>
          <cell r="H33">
            <v>15</v>
          </cell>
          <cell r="L33">
            <v>0</v>
          </cell>
          <cell r="M33">
            <v>0.03</v>
          </cell>
          <cell r="N33">
            <v>0.01</v>
          </cell>
          <cell r="O33">
            <v>2760</v>
          </cell>
          <cell r="Q33">
            <v>0</v>
          </cell>
          <cell r="R33">
            <v>255</v>
          </cell>
          <cell r="S33">
            <v>85</v>
          </cell>
          <cell r="T33">
            <v>1081.1742424242425</v>
          </cell>
          <cell r="U33">
            <v>1421.1742424242425</v>
          </cell>
          <cell r="V33">
            <v>118.43118686868688</v>
          </cell>
          <cell r="W33">
            <v>0.51491820377689945</v>
          </cell>
        </row>
        <row r="34">
          <cell r="C34" t="str">
            <v>Empilhadeira</v>
          </cell>
          <cell r="D34">
            <v>44000</v>
          </cell>
          <cell r="E34">
            <v>0</v>
          </cell>
          <cell r="F34">
            <v>0</v>
          </cell>
          <cell r="H34">
            <v>15</v>
          </cell>
          <cell r="L34">
            <v>0</v>
          </cell>
          <cell r="M34">
            <v>0.03</v>
          </cell>
          <cell r="N34">
            <v>0.01</v>
          </cell>
          <cell r="O34">
            <v>2760</v>
          </cell>
          <cell r="Q34">
            <v>0</v>
          </cell>
          <cell r="R34">
            <v>1320</v>
          </cell>
          <cell r="S34">
            <v>440</v>
          </cell>
          <cell r="T34">
            <v>5596.666666666667</v>
          </cell>
          <cell r="U34">
            <v>7356.666666666667</v>
          </cell>
          <cell r="V34">
            <v>613.05555555555554</v>
          </cell>
          <cell r="W34">
            <v>2.6654589371980677</v>
          </cell>
        </row>
        <row r="35">
          <cell r="C35" t="str">
            <v>Equipamento de Jato - Desobstrutor</v>
          </cell>
          <cell r="D35">
            <v>400000</v>
          </cell>
          <cell r="E35">
            <v>0</v>
          </cell>
          <cell r="F35">
            <v>0</v>
          </cell>
          <cell r="H35">
            <v>15</v>
          </cell>
          <cell r="L35">
            <v>0</v>
          </cell>
          <cell r="M35">
            <v>0.03</v>
          </cell>
          <cell r="N35">
            <v>0.01</v>
          </cell>
          <cell r="O35">
            <v>2760</v>
          </cell>
          <cell r="Q35">
            <v>0</v>
          </cell>
          <cell r="R35">
            <v>12000</v>
          </cell>
          <cell r="S35">
            <v>4000</v>
          </cell>
          <cell r="T35">
            <v>50878.787878787887</v>
          </cell>
          <cell r="U35">
            <v>66878.787878787887</v>
          </cell>
          <cell r="V35">
            <v>5573.2323232323242</v>
          </cell>
          <cell r="W35">
            <v>24.231444883618799</v>
          </cell>
        </row>
        <row r="36">
          <cell r="C36" t="str">
            <v>Escavadeira</v>
          </cell>
          <cell r="D36">
            <v>475000</v>
          </cell>
          <cell r="E36">
            <v>0</v>
          </cell>
          <cell r="F36">
            <v>0</v>
          </cell>
          <cell r="H36">
            <v>15</v>
          </cell>
          <cell r="L36">
            <v>0</v>
          </cell>
          <cell r="M36">
            <v>0.03</v>
          </cell>
          <cell r="N36">
            <v>0.01</v>
          </cell>
          <cell r="O36">
            <v>2760</v>
          </cell>
          <cell r="Q36">
            <v>0</v>
          </cell>
          <cell r="R36">
            <v>14250</v>
          </cell>
          <cell r="S36">
            <v>4750</v>
          </cell>
          <cell r="T36">
            <v>60418.560606060608</v>
          </cell>
          <cell r="U36">
            <v>79418.560606060608</v>
          </cell>
          <cell r="V36">
            <v>6618.2133838383843</v>
          </cell>
          <cell r="W36">
            <v>28.774840799297323</v>
          </cell>
        </row>
        <row r="37">
          <cell r="C37" t="str">
            <v>Guindaste</v>
          </cell>
          <cell r="D37">
            <v>850000</v>
          </cell>
          <cell r="E37">
            <v>0</v>
          </cell>
          <cell r="F37">
            <v>0</v>
          </cell>
          <cell r="H37">
            <v>15</v>
          </cell>
          <cell r="L37">
            <v>0</v>
          </cell>
          <cell r="M37">
            <v>0.03</v>
          </cell>
          <cell r="N37">
            <v>0.01</v>
          </cell>
          <cell r="O37">
            <v>2760</v>
          </cell>
          <cell r="Q37">
            <v>0</v>
          </cell>
          <cell r="R37">
            <v>25500</v>
          </cell>
          <cell r="S37">
            <v>8500</v>
          </cell>
          <cell r="T37">
            <v>108117.42424242425</v>
          </cell>
          <cell r="U37">
            <v>142117.42424242425</v>
          </cell>
          <cell r="V37">
            <v>11843.118686868687</v>
          </cell>
          <cell r="W37">
            <v>51.491820377689947</v>
          </cell>
        </row>
        <row r="38">
          <cell r="C38" t="str">
            <v>Maquina de Cortar Asfalto</v>
          </cell>
          <cell r="D38">
            <v>165000</v>
          </cell>
          <cell r="E38">
            <v>0</v>
          </cell>
          <cell r="F38">
            <v>0</v>
          </cell>
          <cell r="H38">
            <v>15</v>
          </cell>
          <cell r="L38">
            <v>0</v>
          </cell>
          <cell r="M38">
            <v>0.03</v>
          </cell>
          <cell r="N38">
            <v>0.01</v>
          </cell>
          <cell r="O38">
            <v>2760</v>
          </cell>
          <cell r="Q38">
            <v>0</v>
          </cell>
          <cell r="R38">
            <v>4950</v>
          </cell>
          <cell r="S38">
            <v>1650</v>
          </cell>
          <cell r="T38">
            <v>20987.5</v>
          </cell>
          <cell r="U38">
            <v>27587.5</v>
          </cell>
          <cell r="V38">
            <v>2298.9583333333335</v>
          </cell>
          <cell r="W38">
            <v>9.9954710144927539</v>
          </cell>
        </row>
        <row r="39">
          <cell r="C39" t="str">
            <v>Motoniveladora</v>
          </cell>
          <cell r="D39">
            <v>330000</v>
          </cell>
          <cell r="E39">
            <v>0</v>
          </cell>
          <cell r="F39">
            <v>0</v>
          </cell>
          <cell r="H39">
            <v>15</v>
          </cell>
          <cell r="L39">
            <v>0</v>
          </cell>
          <cell r="M39">
            <v>0.03</v>
          </cell>
          <cell r="N39">
            <v>0.01</v>
          </cell>
          <cell r="O39">
            <v>2760</v>
          </cell>
          <cell r="Q39">
            <v>0</v>
          </cell>
          <cell r="R39">
            <v>9900</v>
          </cell>
          <cell r="S39">
            <v>3300</v>
          </cell>
          <cell r="T39">
            <v>41975</v>
          </cell>
          <cell r="U39">
            <v>55175</v>
          </cell>
          <cell r="V39">
            <v>4597.916666666667</v>
          </cell>
          <cell r="W39">
            <v>19.990942028985508</v>
          </cell>
        </row>
        <row r="40">
          <cell r="C40" t="str">
            <v>Motor Estacionario</v>
          </cell>
          <cell r="D40">
            <v>600</v>
          </cell>
          <cell r="E40">
            <v>0</v>
          </cell>
          <cell r="F40">
            <v>0</v>
          </cell>
          <cell r="H40">
            <v>15</v>
          </cell>
          <cell r="L40">
            <v>0</v>
          </cell>
          <cell r="M40">
            <v>0.03</v>
          </cell>
          <cell r="N40">
            <v>0.01</v>
          </cell>
          <cell r="O40">
            <v>2760</v>
          </cell>
          <cell r="Q40">
            <v>0</v>
          </cell>
          <cell r="R40">
            <v>18</v>
          </cell>
          <cell r="S40">
            <v>6</v>
          </cell>
          <cell r="T40">
            <v>76.318181818181813</v>
          </cell>
          <cell r="U40">
            <v>100.31818181818181</v>
          </cell>
          <cell r="V40">
            <v>8.3598484848484844</v>
          </cell>
          <cell r="W40">
            <v>3.6347167325428191E-2</v>
          </cell>
        </row>
        <row r="41">
          <cell r="C41" t="str">
            <v>Plataforma</v>
          </cell>
          <cell r="E41">
            <v>0</v>
          </cell>
          <cell r="F41">
            <v>0</v>
          </cell>
          <cell r="L41">
            <v>0</v>
          </cell>
          <cell r="M41">
            <v>0.03</v>
          </cell>
          <cell r="N41">
            <v>0.01</v>
          </cell>
          <cell r="O41">
            <v>2760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C42" t="str">
            <v>Retroescavadeira</v>
          </cell>
          <cell r="D42">
            <v>310000</v>
          </cell>
          <cell r="E42">
            <v>0</v>
          </cell>
          <cell r="F42">
            <v>0</v>
          </cell>
          <cell r="H42">
            <v>15</v>
          </cell>
          <cell r="L42">
            <v>0</v>
          </cell>
          <cell r="M42">
            <v>0.03</v>
          </cell>
          <cell r="N42">
            <v>0.01</v>
          </cell>
          <cell r="O42">
            <v>2760</v>
          </cell>
          <cell r="Q42">
            <v>0</v>
          </cell>
          <cell r="R42">
            <v>9300</v>
          </cell>
          <cell r="S42">
            <v>3100</v>
          </cell>
          <cell r="T42">
            <v>39431.060606060608</v>
          </cell>
          <cell r="U42">
            <v>51831.060606060608</v>
          </cell>
          <cell r="V42">
            <v>4319.2550505050503</v>
          </cell>
          <cell r="W42">
            <v>18.779369784804569</v>
          </cell>
        </row>
        <row r="43">
          <cell r="C43" t="str">
            <v>Trator</v>
          </cell>
          <cell r="D43">
            <v>100000</v>
          </cell>
          <cell r="E43">
            <v>0</v>
          </cell>
          <cell r="F43">
            <v>0</v>
          </cell>
          <cell r="H43">
            <v>15</v>
          </cell>
          <cell r="L43">
            <v>0</v>
          </cell>
          <cell r="M43">
            <v>0.03</v>
          </cell>
          <cell r="N43">
            <v>0.01</v>
          </cell>
          <cell r="O43">
            <v>2760</v>
          </cell>
          <cell r="Q43">
            <v>0</v>
          </cell>
          <cell r="R43">
            <v>3000</v>
          </cell>
          <cell r="S43">
            <v>1000</v>
          </cell>
          <cell r="T43">
            <v>12719.696969696972</v>
          </cell>
          <cell r="U43">
            <v>16719.696969696972</v>
          </cell>
          <cell r="V43">
            <v>1393.3080808080811</v>
          </cell>
          <cell r="W43">
            <v>6.0578612209046998</v>
          </cell>
        </row>
        <row r="44">
          <cell r="C44" t="str">
            <v>Trator Esteira</v>
          </cell>
          <cell r="D44">
            <v>300000</v>
          </cell>
          <cell r="E44">
            <v>0</v>
          </cell>
          <cell r="F44">
            <v>0</v>
          </cell>
          <cell r="H44">
            <v>15</v>
          </cell>
          <cell r="L44">
            <v>0</v>
          </cell>
          <cell r="M44">
            <v>0.03</v>
          </cell>
          <cell r="N44">
            <v>0.01</v>
          </cell>
          <cell r="O44">
            <v>2760</v>
          </cell>
          <cell r="Q44">
            <v>0</v>
          </cell>
          <cell r="R44">
            <v>9000</v>
          </cell>
          <cell r="S44">
            <v>3000</v>
          </cell>
          <cell r="T44">
            <v>38159.090909090912</v>
          </cell>
          <cell r="U44">
            <v>50159.090909090912</v>
          </cell>
          <cell r="V44">
            <v>4179.9242424242429</v>
          </cell>
          <cell r="W44">
            <v>18.173583662714098</v>
          </cell>
        </row>
        <row r="45">
          <cell r="C45" t="str">
            <v>Trator Roçadeira</v>
          </cell>
          <cell r="D45">
            <v>190000</v>
          </cell>
          <cell r="E45">
            <v>0</v>
          </cell>
          <cell r="F45">
            <v>0</v>
          </cell>
          <cell r="H45">
            <v>15</v>
          </cell>
          <cell r="L45">
            <v>0</v>
          </cell>
          <cell r="M45">
            <v>0.03</v>
          </cell>
          <cell r="N45">
            <v>0.01</v>
          </cell>
          <cell r="O45">
            <v>2760</v>
          </cell>
          <cell r="Q45">
            <v>0</v>
          </cell>
          <cell r="R45">
            <v>5700</v>
          </cell>
          <cell r="S45">
            <v>1900</v>
          </cell>
          <cell r="T45">
            <v>24167.424242424244</v>
          </cell>
          <cell r="U45">
            <v>31767.424242424244</v>
          </cell>
          <cell r="V45">
            <v>2647.2853535353538</v>
          </cell>
          <cell r="W45">
            <v>11.509936319718928</v>
          </cell>
        </row>
        <row r="46">
          <cell r="C46" t="str">
            <v>Caminhão Limpa Fossa</v>
          </cell>
          <cell r="D46">
            <v>50000</v>
          </cell>
          <cell r="E46">
            <v>0</v>
          </cell>
          <cell r="F46">
            <v>0</v>
          </cell>
          <cell r="H46">
            <v>15</v>
          </cell>
          <cell r="L46">
            <v>0</v>
          </cell>
          <cell r="M46">
            <v>0.03</v>
          </cell>
          <cell r="N46">
            <v>0.01</v>
          </cell>
          <cell r="O46">
            <v>2760</v>
          </cell>
          <cell r="Q46">
            <v>0</v>
          </cell>
          <cell r="R46">
            <v>1500</v>
          </cell>
          <cell r="S46">
            <v>500</v>
          </cell>
          <cell r="T46">
            <v>6359.8484848484859</v>
          </cell>
          <cell r="U46">
            <v>8359.8484848484859</v>
          </cell>
          <cell r="V46">
            <v>696.65404040404053</v>
          </cell>
          <cell r="W46">
            <v>3.0289306104523499</v>
          </cell>
        </row>
        <row r="47">
          <cell r="E47">
            <v>0</v>
          </cell>
          <cell r="F47">
            <v>0</v>
          </cell>
          <cell r="L47">
            <v>0</v>
          </cell>
          <cell r="M47">
            <v>0.03</v>
          </cell>
          <cell r="N47">
            <v>0.01</v>
          </cell>
          <cell r="O47">
            <v>2760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</sheetData>
      <sheetData sheetId="5">
        <row r="457">
          <cell r="D457">
            <v>10</v>
          </cell>
        </row>
        <row r="458">
          <cell r="D458">
            <v>0.95</v>
          </cell>
        </row>
      </sheetData>
      <sheetData sheetId="6">
        <row r="9">
          <cell r="D9">
            <v>16.821443846765277</v>
          </cell>
          <cell r="I9">
            <v>12.5</v>
          </cell>
        </row>
        <row r="10">
          <cell r="D10">
            <v>9.387105</v>
          </cell>
          <cell r="I10">
            <v>9.387105</v>
          </cell>
        </row>
        <row r="11">
          <cell r="D11">
            <v>9.387105</v>
          </cell>
        </row>
        <row r="12">
          <cell r="D12">
            <v>9.387105</v>
          </cell>
          <cell r="I12">
            <v>10</v>
          </cell>
        </row>
        <row r="13">
          <cell r="D13">
            <v>10</v>
          </cell>
          <cell r="I13">
            <v>10</v>
          </cell>
        </row>
        <row r="14">
          <cell r="D14">
            <v>5</v>
          </cell>
        </row>
        <row r="15">
          <cell r="D15">
            <v>2.4488099999999999</v>
          </cell>
          <cell r="I15">
            <v>10</v>
          </cell>
        </row>
        <row r="16">
          <cell r="D16">
            <v>6.4135499999999999</v>
          </cell>
          <cell r="I16">
            <v>10</v>
          </cell>
        </row>
        <row r="17">
          <cell r="D17">
            <v>147.25972741978148</v>
          </cell>
        </row>
        <row r="18">
          <cell r="D18">
            <v>68.109899858415858</v>
          </cell>
        </row>
        <row r="19">
          <cell r="D19">
            <v>33.765986229574423</v>
          </cell>
        </row>
        <row r="20">
          <cell r="D20">
            <v>0.05</v>
          </cell>
        </row>
        <row r="21">
          <cell r="D21">
            <v>50</v>
          </cell>
        </row>
        <row r="22">
          <cell r="D22">
            <v>100</v>
          </cell>
        </row>
        <row r="23">
          <cell r="D23">
            <v>6</v>
          </cell>
        </row>
        <row r="33">
          <cell r="E33">
            <v>8</v>
          </cell>
        </row>
        <row r="34">
          <cell r="E34">
            <v>8</v>
          </cell>
        </row>
        <row r="35">
          <cell r="E35">
            <v>5</v>
          </cell>
        </row>
        <row r="36">
          <cell r="E36">
            <v>5</v>
          </cell>
        </row>
        <row r="43">
          <cell r="D43">
            <v>1500</v>
          </cell>
        </row>
        <row r="44">
          <cell r="D44">
            <v>2500</v>
          </cell>
        </row>
      </sheetData>
      <sheetData sheetId="7">
        <row r="9">
          <cell r="C9" t="str">
            <v>Poli Aniônico (Agua)</v>
          </cell>
          <cell r="D9">
            <v>15.89</v>
          </cell>
        </row>
        <row r="10">
          <cell r="C10" t="str">
            <v>Carvão Ativado em Pó</v>
          </cell>
          <cell r="D10">
            <v>0</v>
          </cell>
        </row>
        <row r="11">
          <cell r="C11" t="str">
            <v>Permanganato de Potássio</v>
          </cell>
          <cell r="D11">
            <v>0</v>
          </cell>
        </row>
        <row r="12">
          <cell r="C12" t="str">
            <v>Cal Hidratada (Agua)</v>
          </cell>
          <cell r="D12">
            <v>0.30399999999999999</v>
          </cell>
        </row>
        <row r="13">
          <cell r="C13" t="str">
            <v>Cal Virgem (Agua)</v>
          </cell>
          <cell r="D13">
            <v>0.28100000000000003</v>
          </cell>
        </row>
        <row r="14">
          <cell r="C14" t="str">
            <v>Ácido Fluossilícico</v>
          </cell>
          <cell r="D14">
            <v>0.58099999999999996</v>
          </cell>
        </row>
        <row r="15">
          <cell r="C15" t="str">
            <v>Cloro Gasoso (ETA)</v>
          </cell>
          <cell r="D15">
            <v>3.93</v>
          </cell>
        </row>
        <row r="16">
          <cell r="C16" t="str">
            <v>Cloro Gasoso (UTS)</v>
          </cell>
          <cell r="D16">
            <v>4.5</v>
          </cell>
        </row>
        <row r="17">
          <cell r="C17" t="str">
            <v>Hipoclorito de Sódio</v>
          </cell>
          <cell r="D17">
            <v>1.77</v>
          </cell>
        </row>
        <row r="18">
          <cell r="C18" t="str">
            <v>Policloreto de Alumínio - PAC (Coagulante)</v>
          </cell>
          <cell r="D18">
            <v>1.399</v>
          </cell>
        </row>
        <row r="19">
          <cell r="C19" t="str">
            <v>Sulfato Al Liq. (Coagulante)</v>
          </cell>
          <cell r="D19">
            <v>0.51600000000000001</v>
          </cell>
        </row>
        <row r="20">
          <cell r="C20" t="str">
            <v>Carbonato de Sodio</v>
          </cell>
          <cell r="D20">
            <v>2.35</v>
          </cell>
        </row>
        <row r="21">
          <cell r="C21" t="str">
            <v>Fluorssilicato de Sódio</v>
          </cell>
          <cell r="D21">
            <v>2.4300000000000002</v>
          </cell>
        </row>
        <row r="22">
          <cell r="C22" t="str">
            <v>Tricloro</v>
          </cell>
          <cell r="D22">
            <v>12.6</v>
          </cell>
        </row>
        <row r="23">
          <cell r="C23" t="str">
            <v>Poli Prensa (Lodo)</v>
          </cell>
          <cell r="D23">
            <v>11.99</v>
          </cell>
        </row>
        <row r="24">
          <cell r="C24" t="str">
            <v>Poli Centrífuga (Lodo)</v>
          </cell>
          <cell r="D24">
            <v>11.74</v>
          </cell>
        </row>
        <row r="25">
          <cell r="C25" t="str">
            <v>Poli Aniônico (Esgoto)</v>
          </cell>
          <cell r="D25">
            <v>10.8</v>
          </cell>
        </row>
        <row r="26">
          <cell r="C26" t="str">
            <v>Sulfato Al (Coagulante)</v>
          </cell>
          <cell r="D26">
            <v>0.41</v>
          </cell>
        </row>
        <row r="27">
          <cell r="C27" t="str">
            <v>Cloreto Férrico (Coagulante)</v>
          </cell>
          <cell r="D27">
            <v>0.72</v>
          </cell>
        </row>
        <row r="28">
          <cell r="C28" t="str">
            <v>Cal (Esgoto)</v>
          </cell>
          <cell r="D28">
            <v>0.21</v>
          </cell>
        </row>
        <row r="29">
          <cell r="C29" t="str">
            <v>Clorocal</v>
          </cell>
          <cell r="D29">
            <v>2.95</v>
          </cell>
        </row>
        <row r="32">
          <cell r="D32">
            <v>15.1</v>
          </cell>
        </row>
        <row r="33">
          <cell r="D33">
            <v>0.2</v>
          </cell>
        </row>
        <row r="34">
          <cell r="D34">
            <v>15</v>
          </cell>
        </row>
        <row r="86">
          <cell r="J86">
            <v>0.49689394445730495</v>
          </cell>
        </row>
      </sheetData>
      <sheetData sheetId="8">
        <row r="8">
          <cell r="D8">
            <v>15.1</v>
          </cell>
        </row>
        <row r="9">
          <cell r="D9">
            <v>0.2</v>
          </cell>
        </row>
        <row r="10">
          <cell r="D10">
            <v>5</v>
          </cell>
        </row>
        <row r="176">
          <cell r="M176">
            <v>0.25023519583894582</v>
          </cell>
        </row>
      </sheetData>
      <sheetData sheetId="9"/>
      <sheetData sheetId="10">
        <row r="26">
          <cell r="J26">
            <v>496222</v>
          </cell>
          <cell r="L26">
            <v>6.1499999999999999E-2</v>
          </cell>
        </row>
        <row r="39">
          <cell r="J39">
            <v>402990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9">
          <cell r="D9">
            <v>3319.1813750684933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E"/>
      <sheetName val="Recebidos"/>
      <sheetName val="Rec. 2010"/>
      <sheetName val="Rec. 2011"/>
      <sheetName val="Rec. 2013"/>
      <sheetName val="Desp. 2010"/>
      <sheetName val="Desp. 2011"/>
      <sheetName val="Desp. 2012"/>
      <sheetName val="Verificar_Desp. 2013"/>
      <sheetName val="Verificar_Desp 2012"/>
      <sheetName val="Verificar_Rec. 201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ão Relatótio"/>
      <sheetName val="Final"/>
      <sheetName val="Controle"/>
      <sheetName val="BETA"/>
      <sheetName val="Country Risk"/>
      <sheetName val="T-Bonds"/>
      <sheetName val="Long-Horizon ERP"/>
      <sheetName val="Mid-Cap Premia"/>
      <sheetName val="Low-Cap Premia"/>
      <sheetName val="Micro-Cap Premia"/>
      <sheetName val="US Inflation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terc"/>
      <sheetName val="Kterc (2)"/>
      <sheetName val="Final"/>
      <sheetName val="Controle"/>
      <sheetName val="BETA (2)"/>
      <sheetName val="BETA"/>
      <sheetName val="Country Risk"/>
      <sheetName val="T-Bonds"/>
      <sheetName val="Long-Horizon ERP"/>
      <sheetName val="Mid-Cap Premia"/>
      <sheetName val="Low-Cap Premia"/>
      <sheetName val="Micro-Cap Premia"/>
      <sheetName val="US Inflation"/>
      <sheetName val="Fat TI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>
        <row r="6">
          <cell r="E6">
            <v>5.0370069444444434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adasa.df.gov.br/images/storage/legislacao/Notas_Tecnicas/2024/Nota_Tecnica05_2024.pdf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adasa.df.gov.br/images/storage/legislacao/resolucoes_adasa/2024/Resolucao36_26042024.pdf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dasa.df.gov.br/images/storage/legislacao/resolucoes_adasa/2024/Resolucao36_26042024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18607-90C1-438C-AD22-4D9BF2C2515D}">
  <sheetPr>
    <tabColor theme="3" tint="0.79998168889431442"/>
  </sheetPr>
  <dimension ref="A1:AB52"/>
  <sheetViews>
    <sheetView showGridLines="0" tabSelected="1" zoomScaleNormal="100" workbookViewId="0">
      <selection activeCell="U20" sqref="U20"/>
    </sheetView>
  </sheetViews>
  <sheetFormatPr defaultColWidth="0" defaultRowHeight="15" zeroHeight="1" x14ac:dyDescent="0.25"/>
  <cols>
    <col min="1" max="12" width="9.140625" customWidth="1"/>
    <col min="13" max="13" width="17.85546875" customWidth="1"/>
    <col min="14" max="25" width="9.140625" customWidth="1"/>
    <col min="26" max="26" width="7.7109375" customWidth="1"/>
    <col min="27" max="27" width="5.42578125" customWidth="1"/>
    <col min="28" max="28" width="9.140625" customWidth="1"/>
    <col min="29" max="16384" width="9.140625" hidden="1"/>
  </cols>
  <sheetData>
    <row r="1" s="21" customFormat="1" ht="3" customHeight="1" x14ac:dyDescent="0.25"/>
    <row r="2" s="21" customFormat="1" x14ac:dyDescent="0.25"/>
    <row r="3" s="83" customFormat="1" x14ac:dyDescent="0.25"/>
    <row r="4" s="83" customFormat="1" x14ac:dyDescent="0.25"/>
    <row r="5" s="83" customFormat="1" ht="20.100000000000001" customHeight="1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15:15" x14ac:dyDescent="0.25"/>
    <row r="18" spans="15:15" x14ac:dyDescent="0.25"/>
    <row r="19" spans="15:15" x14ac:dyDescent="0.25"/>
    <row r="20" spans="15:15" x14ac:dyDescent="0.25"/>
    <row r="21" spans="15:15" x14ac:dyDescent="0.25"/>
    <row r="22" spans="15:15" x14ac:dyDescent="0.25"/>
    <row r="23" spans="15:15" x14ac:dyDescent="0.25"/>
    <row r="24" spans="15:15" x14ac:dyDescent="0.25"/>
    <row r="25" spans="15:15" x14ac:dyDescent="0.25"/>
    <row r="26" spans="15:15" x14ac:dyDescent="0.25">
      <c r="O26" s="19"/>
    </row>
    <row r="27" spans="15:15" x14ac:dyDescent="0.25">
      <c r="O27" s="19"/>
    </row>
    <row r="28" spans="15:15" x14ac:dyDescent="0.25">
      <c r="O28" s="19"/>
    </row>
    <row r="29" spans="15:15" x14ac:dyDescent="0.25">
      <c r="O29" s="19"/>
    </row>
    <row r="30" spans="15:15" x14ac:dyDescent="0.25">
      <c r="O30" s="19"/>
    </row>
    <row r="31" spans="15:15" x14ac:dyDescent="0.25"/>
    <row r="32" spans="15:15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66D34-D179-494C-A9BD-C8E28890E664}">
  <sheetPr>
    <tabColor theme="3"/>
  </sheetPr>
  <dimension ref="A1:T54"/>
  <sheetViews>
    <sheetView showGridLines="0" zoomScale="90" zoomScaleNormal="90" workbookViewId="0">
      <selection activeCell="G31" sqref="G31"/>
    </sheetView>
  </sheetViews>
  <sheetFormatPr defaultColWidth="0" defaultRowHeight="15" customHeight="1" zeroHeight="1" x14ac:dyDescent="0.25"/>
  <cols>
    <col min="1" max="1" width="3.42578125" customWidth="1"/>
    <col min="2" max="2" width="24.140625" customWidth="1"/>
    <col min="3" max="3" width="19.28515625" style="13" customWidth="1"/>
    <col min="4" max="4" width="20.7109375" customWidth="1"/>
    <col min="5" max="5" width="21.140625" bestFit="1" customWidth="1"/>
    <col min="6" max="7" width="16.28515625" bestFit="1" customWidth="1"/>
    <col min="8" max="8" width="17.28515625" customWidth="1"/>
    <col min="9" max="14" width="16.28515625" bestFit="1" customWidth="1"/>
    <col min="15" max="15" width="19.28515625" customWidth="1"/>
    <col min="16" max="16" width="17.85546875" bestFit="1" customWidth="1"/>
    <col min="17" max="17" width="4.5703125" customWidth="1"/>
    <col min="18" max="20" width="0" hidden="1" customWidth="1"/>
    <col min="21" max="16384" width="9.140625" hidden="1"/>
  </cols>
  <sheetData>
    <row r="1" spans="1:17" ht="3" customHeight="1" x14ac:dyDescent="0.25"/>
    <row r="2" spans="1:17" x14ac:dyDescent="0.25"/>
    <row r="3" spans="1:17" x14ac:dyDescent="0.25">
      <c r="A3" s="83"/>
      <c r="B3" s="83"/>
      <c r="C3" s="105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</row>
    <row r="4" spans="1:17" x14ac:dyDescent="0.25">
      <c r="A4" s="83"/>
      <c r="B4" s="83"/>
      <c r="C4" s="105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</row>
    <row r="5" spans="1:17" ht="20.100000000000001" customHeight="1" x14ac:dyDescent="0.25">
      <c r="A5" s="83"/>
      <c r="B5" s="83"/>
      <c r="C5" s="105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</row>
    <row r="6" spans="1:17" x14ac:dyDescent="0.25"/>
    <row r="7" spans="1:17" ht="18.75" x14ac:dyDescent="0.25">
      <c r="B7" s="111"/>
      <c r="C7" s="102"/>
    </row>
    <row r="8" spans="1:17" ht="10.5" customHeight="1" x14ac:dyDescent="0.25">
      <c r="I8" s="329"/>
    </row>
    <row r="9" spans="1:17" x14ac:dyDescent="0.25">
      <c r="B9" s="522" t="s">
        <v>319</v>
      </c>
      <c r="C9" s="523"/>
      <c r="D9" s="523"/>
      <c r="E9" s="524"/>
      <c r="F9" s="402"/>
      <c r="G9" s="402"/>
      <c r="H9" s="322"/>
      <c r="I9" s="322"/>
      <c r="J9" s="322"/>
      <c r="K9" s="322"/>
      <c r="L9" s="322"/>
      <c r="M9" s="184"/>
      <c r="N9" s="184"/>
      <c r="O9" s="184"/>
      <c r="P9" s="18"/>
    </row>
    <row r="10" spans="1:17" x14ac:dyDescent="0.25">
      <c r="B10" s="268" t="s">
        <v>66</v>
      </c>
      <c r="C10" s="269" t="s">
        <v>67</v>
      </c>
      <c r="D10" s="270" t="s">
        <v>262</v>
      </c>
      <c r="E10" s="270" t="s">
        <v>263</v>
      </c>
      <c r="F10" s="183"/>
      <c r="G10" s="183"/>
      <c r="H10" s="183"/>
      <c r="I10" s="183"/>
      <c r="J10" s="183"/>
      <c r="K10" s="183"/>
      <c r="L10" s="183"/>
      <c r="M10" s="183"/>
      <c r="N10" s="103"/>
    </row>
    <row r="11" spans="1:17" x14ac:dyDescent="0.25">
      <c r="B11" s="382" t="s">
        <v>264</v>
      </c>
      <c r="C11" s="386" t="s">
        <v>265</v>
      </c>
      <c r="D11" s="330">
        <v>22051</v>
      </c>
      <c r="E11" s="384">
        <v>292018.05</v>
      </c>
      <c r="F11" s="18"/>
      <c r="G11" s="329"/>
      <c r="I11" s="18"/>
      <c r="J11" s="18"/>
      <c r="K11" s="3"/>
    </row>
    <row r="12" spans="1:17" x14ac:dyDescent="0.25">
      <c r="B12" s="382" t="s">
        <v>264</v>
      </c>
      <c r="C12" s="386" t="s">
        <v>70</v>
      </c>
      <c r="D12" s="330">
        <v>23152</v>
      </c>
      <c r="E12" s="384">
        <v>589261.81000000006</v>
      </c>
      <c r="F12" s="18"/>
      <c r="G12" s="329"/>
      <c r="I12" s="18"/>
      <c r="J12" s="18"/>
      <c r="K12" s="3"/>
    </row>
    <row r="13" spans="1:17" x14ac:dyDescent="0.25">
      <c r="B13" s="382" t="s">
        <v>264</v>
      </c>
      <c r="C13" s="386" t="s">
        <v>71</v>
      </c>
      <c r="D13" s="330">
        <v>10649</v>
      </c>
      <c r="E13" s="384">
        <v>497599.29</v>
      </c>
      <c r="F13" s="18"/>
      <c r="G13" s="329"/>
      <c r="I13" s="18"/>
      <c r="J13" s="18"/>
      <c r="K13" s="3"/>
    </row>
    <row r="14" spans="1:17" x14ac:dyDescent="0.25">
      <c r="B14" s="382" t="s">
        <v>264</v>
      </c>
      <c r="C14" s="386" t="s">
        <v>266</v>
      </c>
      <c r="D14" s="330">
        <v>3513</v>
      </c>
      <c r="E14" s="384">
        <v>313083.49</v>
      </c>
      <c r="F14" s="18"/>
      <c r="G14" s="329"/>
      <c r="I14" s="18"/>
      <c r="J14" s="18"/>
      <c r="K14" s="3"/>
    </row>
    <row r="15" spans="1:17" x14ac:dyDescent="0.25">
      <c r="B15" s="382" t="s">
        <v>264</v>
      </c>
      <c r="C15" s="386" t="s">
        <v>73</v>
      </c>
      <c r="D15" s="383">
        <v>664</v>
      </c>
      <c r="E15" s="384">
        <v>156449.67000000001</v>
      </c>
      <c r="F15" s="18"/>
      <c r="G15" s="329"/>
      <c r="I15" s="18"/>
      <c r="J15" s="18"/>
      <c r="K15" s="3"/>
    </row>
    <row r="16" spans="1:17" x14ac:dyDescent="0.25">
      <c r="B16" s="382" t="s">
        <v>264</v>
      </c>
      <c r="C16" s="386" t="s">
        <v>267</v>
      </c>
      <c r="D16" s="382">
        <v>230</v>
      </c>
      <c r="E16" s="384">
        <v>345108.89</v>
      </c>
      <c r="F16" s="18"/>
      <c r="G16" s="329"/>
      <c r="I16" s="18"/>
      <c r="J16" s="18"/>
      <c r="K16" s="3"/>
    </row>
    <row r="17" spans="2:8" x14ac:dyDescent="0.25">
      <c r="B17" s="292" t="s">
        <v>264</v>
      </c>
      <c r="C17" s="403" t="s">
        <v>268</v>
      </c>
      <c r="D17" s="293">
        <v>60259</v>
      </c>
      <c r="E17" s="293">
        <v>2193521.2000000002</v>
      </c>
    </row>
    <row r="18" spans="2:8" x14ac:dyDescent="0.25">
      <c r="D18" s="183"/>
      <c r="E18" s="183"/>
      <c r="F18" s="183"/>
      <c r="G18" s="183"/>
    </row>
    <row r="19" spans="2:8" x14ac:dyDescent="0.25">
      <c r="B19" s="522" t="s">
        <v>320</v>
      </c>
      <c r="C19" s="523"/>
      <c r="D19" s="523"/>
      <c r="E19" s="524"/>
      <c r="F19" s="402"/>
      <c r="G19" s="402"/>
    </row>
    <row r="20" spans="2:8" x14ac:dyDescent="0.25">
      <c r="B20" s="268" t="s">
        <v>66</v>
      </c>
      <c r="C20" s="269" t="s">
        <v>67</v>
      </c>
      <c r="D20" s="270" t="s">
        <v>262</v>
      </c>
      <c r="E20" s="270" t="s">
        <v>263</v>
      </c>
    </row>
    <row r="21" spans="2:8" x14ac:dyDescent="0.25">
      <c r="B21" s="382" t="s">
        <v>264</v>
      </c>
      <c r="C21" s="386" t="s">
        <v>265</v>
      </c>
      <c r="D21" s="383">
        <v>19384</v>
      </c>
      <c r="E21" s="384">
        <v>250306.93</v>
      </c>
    </row>
    <row r="22" spans="2:8" x14ac:dyDescent="0.25">
      <c r="B22" s="382" t="s">
        <v>264</v>
      </c>
      <c r="C22" s="386" t="s">
        <v>70</v>
      </c>
      <c r="D22" s="383">
        <v>21050</v>
      </c>
      <c r="E22" s="384">
        <v>514354.97</v>
      </c>
    </row>
    <row r="23" spans="2:8" x14ac:dyDescent="0.25">
      <c r="B23" s="382" t="s">
        <v>264</v>
      </c>
      <c r="C23" s="386" t="s">
        <v>71</v>
      </c>
      <c r="D23" s="383">
        <v>9217</v>
      </c>
      <c r="E23" s="384">
        <v>411740.21</v>
      </c>
      <c r="G23" s="372"/>
      <c r="H23" s="371"/>
    </row>
    <row r="24" spans="2:8" x14ac:dyDescent="0.25">
      <c r="B24" s="382" t="s">
        <v>264</v>
      </c>
      <c r="C24" s="386" t="s">
        <v>266</v>
      </c>
      <c r="D24" s="383">
        <v>2868</v>
      </c>
      <c r="E24" s="384">
        <v>242410.44</v>
      </c>
      <c r="G24" s="372"/>
      <c r="H24" s="373"/>
    </row>
    <row r="25" spans="2:8" x14ac:dyDescent="0.25">
      <c r="B25" s="382" t="s">
        <v>264</v>
      </c>
      <c r="C25" s="386" t="s">
        <v>73</v>
      </c>
      <c r="D25" s="382">
        <v>491</v>
      </c>
      <c r="E25" s="384">
        <v>109158</v>
      </c>
    </row>
    <row r="26" spans="2:8" x14ac:dyDescent="0.25">
      <c r="B26" s="382" t="s">
        <v>264</v>
      </c>
      <c r="C26" s="386" t="s">
        <v>267</v>
      </c>
      <c r="D26" s="382">
        <v>143</v>
      </c>
      <c r="E26" s="384">
        <v>184366.29</v>
      </c>
    </row>
    <row r="27" spans="2:8" x14ac:dyDescent="0.25">
      <c r="B27" s="292" t="s">
        <v>264</v>
      </c>
      <c r="C27" s="403" t="s">
        <v>268</v>
      </c>
      <c r="D27" s="293">
        <v>53153</v>
      </c>
      <c r="E27" s="293">
        <v>1712336.8399999999</v>
      </c>
    </row>
    <row r="28" spans="2:8" s="21" customFormat="1" x14ac:dyDescent="0.25">
      <c r="B28" s="189" t="s">
        <v>269</v>
      </c>
      <c r="C28" s="385"/>
      <c r="D28" s="385"/>
      <c r="E28" s="385"/>
      <c r="F28" s="385"/>
      <c r="G28" s="385"/>
    </row>
    <row r="29" spans="2:8" x14ac:dyDescent="0.25">
      <c r="C29"/>
    </row>
    <row r="30" spans="2:8" x14ac:dyDescent="0.25">
      <c r="B30" s="525" t="s">
        <v>341</v>
      </c>
      <c r="C30" s="526"/>
      <c r="D30" s="527"/>
      <c r="E30" s="387">
        <f>E17+E27</f>
        <v>3905858.04</v>
      </c>
      <c r="G30" s="400"/>
    </row>
    <row r="31" spans="2:8" x14ac:dyDescent="0.25">
      <c r="B31" s="525" t="s">
        <v>342</v>
      </c>
      <c r="C31" s="526"/>
      <c r="D31" s="527"/>
      <c r="E31" s="309">
        <f>D17</f>
        <v>60259</v>
      </c>
      <c r="F31" s="71"/>
      <c r="G31" s="71"/>
      <c r="H31" s="18"/>
    </row>
    <row r="32" spans="2:8" x14ac:dyDescent="0.25">
      <c r="B32" s="525" t="s">
        <v>270</v>
      </c>
      <c r="C32" s="526"/>
      <c r="D32" s="527"/>
      <c r="E32" s="387">
        <f>E30/E31</f>
        <v>64.817837003601127</v>
      </c>
      <c r="G32" s="401"/>
      <c r="H32" s="18"/>
    </row>
    <row r="33" spans="2:9" x14ac:dyDescent="0.25">
      <c r="B33" s="525" t="s">
        <v>271</v>
      </c>
      <c r="C33" s="526"/>
      <c r="D33" s="527"/>
      <c r="E33" s="309">
        <v>38785</v>
      </c>
      <c r="F33" s="71"/>
      <c r="G33" s="23"/>
      <c r="H33" s="23"/>
      <c r="I33" s="23"/>
    </row>
    <row r="34" spans="2:9" x14ac:dyDescent="0.25">
      <c r="B34" s="528" t="s">
        <v>272</v>
      </c>
      <c r="C34" s="529"/>
      <c r="D34" s="530"/>
      <c r="E34" s="388">
        <f>((E31-E33)*E32)*12</f>
        <v>16702778.781783968</v>
      </c>
      <c r="G34" s="401"/>
    </row>
    <row r="35" spans="2:9" x14ac:dyDescent="0.25">
      <c r="D35" s="23"/>
      <c r="G35" s="182"/>
    </row>
    <row r="36" spans="2:9" x14ac:dyDescent="0.25">
      <c r="D36" s="182"/>
    </row>
    <row r="37" spans="2:9" x14ac:dyDescent="0.25">
      <c r="D37" s="23"/>
    </row>
    <row r="38" spans="2:9" x14ac:dyDescent="0.25">
      <c r="D38" s="23"/>
    </row>
    <row r="39" spans="2:9" x14ac:dyDescent="0.25">
      <c r="D39" s="23"/>
      <c r="E39" s="178"/>
      <c r="F39" s="178"/>
    </row>
    <row r="40" spans="2:9" x14ac:dyDescent="0.25">
      <c r="D40" s="23"/>
      <c r="E40" s="178"/>
      <c r="F40" s="178"/>
    </row>
    <row r="41" spans="2:9" hidden="1" x14ac:dyDescent="0.25">
      <c r="D41" s="23"/>
    </row>
    <row r="42" spans="2:9" ht="15" hidden="1" customHeight="1" x14ac:dyDescent="0.25">
      <c r="D42" s="23"/>
    </row>
    <row r="43" spans="2:9" ht="15" hidden="1" customHeight="1" x14ac:dyDescent="0.25">
      <c r="D43" s="23"/>
    </row>
    <row r="44" spans="2:9" ht="15" hidden="1" customHeight="1" x14ac:dyDescent="0.25">
      <c r="D44" s="23"/>
    </row>
    <row r="45" spans="2:9" ht="15" hidden="1" customHeight="1" x14ac:dyDescent="0.25">
      <c r="D45" s="23"/>
    </row>
    <row r="46" spans="2:9" hidden="1" x14ac:dyDescent="0.25">
      <c r="D46" s="23"/>
    </row>
    <row r="47" spans="2:9" hidden="1" x14ac:dyDescent="0.25">
      <c r="D47" s="23"/>
    </row>
    <row r="48" spans="2:9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</sheetData>
  <mergeCells count="7">
    <mergeCell ref="B9:E9"/>
    <mergeCell ref="B19:E19"/>
    <mergeCell ref="B33:D33"/>
    <mergeCell ref="B34:D34"/>
    <mergeCell ref="B30:D30"/>
    <mergeCell ref="B31:D31"/>
    <mergeCell ref="B32:D3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33EFA-A767-41FD-93CA-71960E31AA4A}">
  <sheetPr>
    <tabColor theme="3"/>
  </sheetPr>
  <dimension ref="A1:U54"/>
  <sheetViews>
    <sheetView showGridLines="0" zoomScale="90" zoomScaleNormal="90" workbookViewId="0">
      <selection activeCell="K29" sqref="K29"/>
    </sheetView>
  </sheetViews>
  <sheetFormatPr defaultColWidth="0" defaultRowHeight="15" customHeight="1" zeroHeight="1" x14ac:dyDescent="0.25"/>
  <cols>
    <col min="1" max="1" width="3.42578125" customWidth="1"/>
    <col min="2" max="2" width="18.42578125" customWidth="1"/>
    <col min="3" max="3" width="19.28515625" style="13" customWidth="1"/>
    <col min="4" max="5" width="20.7109375" customWidth="1"/>
    <col min="6" max="6" width="10" bestFit="1" customWidth="1"/>
    <col min="7" max="7" width="26" bestFit="1" customWidth="1"/>
    <col min="8" max="8" width="16.28515625" bestFit="1" customWidth="1"/>
    <col min="9" max="9" width="17.28515625" customWidth="1"/>
    <col min="10" max="15" width="16.28515625" bestFit="1" customWidth="1"/>
    <col min="16" max="16" width="19.28515625" customWidth="1"/>
    <col min="17" max="17" width="17.85546875" bestFit="1" customWidth="1"/>
    <col min="18" max="18" width="4.5703125" customWidth="1"/>
    <col min="19" max="21" width="0" hidden="1" customWidth="1"/>
    <col min="22" max="16384" width="9.140625" hidden="1"/>
  </cols>
  <sheetData>
    <row r="1" spans="1:18" ht="3" customHeight="1" x14ac:dyDescent="0.25"/>
    <row r="2" spans="1:18" x14ac:dyDescent="0.25"/>
    <row r="3" spans="1:18" x14ac:dyDescent="0.25">
      <c r="A3" s="83"/>
      <c r="B3" s="83"/>
      <c r="C3" s="105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</row>
    <row r="4" spans="1:18" x14ac:dyDescent="0.25">
      <c r="A4" s="83"/>
      <c r="B4" s="83"/>
      <c r="C4" s="105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</row>
    <row r="5" spans="1:18" ht="20.100000000000001" customHeight="1" x14ac:dyDescent="0.25">
      <c r="A5" s="83"/>
      <c r="B5" s="83"/>
      <c r="C5" s="105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</row>
    <row r="6" spans="1:18" x14ac:dyDescent="0.25"/>
    <row r="7" spans="1:18" ht="18.75" x14ac:dyDescent="0.25">
      <c r="B7" s="111"/>
      <c r="C7" s="102"/>
    </row>
    <row r="8" spans="1:18" x14ac:dyDescent="0.25">
      <c r="B8" s="415"/>
      <c r="C8" s="416"/>
      <c r="D8" s="416"/>
      <c r="E8" s="416"/>
      <c r="G8" s="436" t="s">
        <v>338</v>
      </c>
      <c r="J8" s="329"/>
    </row>
    <row r="9" spans="1:18" x14ac:dyDescent="0.25">
      <c r="B9" s="532" t="s">
        <v>322</v>
      </c>
      <c r="C9" s="420" t="s">
        <v>339</v>
      </c>
      <c r="D9" s="420" t="s">
        <v>340</v>
      </c>
      <c r="E9" s="417" t="s">
        <v>323</v>
      </c>
      <c r="F9" s="533" t="s">
        <v>179</v>
      </c>
      <c r="G9" s="420" t="s">
        <v>323</v>
      </c>
      <c r="I9" s="402"/>
      <c r="J9" s="322"/>
      <c r="K9" s="322"/>
      <c r="L9" s="322"/>
      <c r="M9" s="322"/>
      <c r="N9" s="322"/>
      <c r="O9" s="184"/>
      <c r="P9" s="184"/>
      <c r="Q9" s="184"/>
      <c r="R9" s="18"/>
    </row>
    <row r="10" spans="1:18" x14ac:dyDescent="0.25">
      <c r="B10" s="532"/>
      <c r="C10" s="421" t="s">
        <v>324</v>
      </c>
      <c r="D10" s="421" t="s">
        <v>324</v>
      </c>
      <c r="E10" s="418" t="s">
        <v>324</v>
      </c>
      <c r="F10" s="534"/>
      <c r="G10" s="421" t="s">
        <v>324</v>
      </c>
      <c r="I10" s="183"/>
      <c r="J10" s="183"/>
      <c r="K10" s="183"/>
      <c r="L10" s="183"/>
      <c r="M10" s="183"/>
      <c r="N10" s="183"/>
      <c r="O10" s="183"/>
      <c r="P10" s="103"/>
    </row>
    <row r="11" spans="1:18" x14ac:dyDescent="0.25">
      <c r="B11" s="427" t="s">
        <v>325</v>
      </c>
      <c r="C11" s="428">
        <v>1220940.2</v>
      </c>
      <c r="D11" s="429">
        <v>4228770.37</v>
      </c>
      <c r="E11" s="429">
        <f>C11+D11</f>
        <v>5449710.5700000003</v>
      </c>
      <c r="F11" s="430">
        <f>Índices_2024!F10</f>
        <v>6773.27</v>
      </c>
      <c r="G11" s="431">
        <f>$F$23/F11*E11</f>
        <v>5712996.8098547673</v>
      </c>
    </row>
    <row r="12" spans="1:18" x14ac:dyDescent="0.25">
      <c r="B12" s="427" t="s">
        <v>326</v>
      </c>
      <c r="C12" s="432">
        <v>1089518.03</v>
      </c>
      <c r="D12" s="433">
        <v>4996797.87</v>
      </c>
      <c r="E12" s="429">
        <f t="shared" ref="E12:E23" si="0">C12+D12</f>
        <v>6086315.9000000004</v>
      </c>
      <c r="F12" s="430">
        <f>Índices_2024!F11</f>
        <v>6801.72</v>
      </c>
      <c r="G12" s="431">
        <f>$F$23/F12*E12</f>
        <v>6353670.2551634004</v>
      </c>
      <c r="J12" s="3"/>
    </row>
    <row r="13" spans="1:18" x14ac:dyDescent="0.25">
      <c r="B13" s="427" t="s">
        <v>327</v>
      </c>
      <c r="C13" s="432">
        <v>1340286.19</v>
      </c>
      <c r="D13" s="433">
        <v>4921246.26</v>
      </c>
      <c r="E13" s="429">
        <f t="shared" si="0"/>
        <v>6261532.4499999993</v>
      </c>
      <c r="F13" s="430">
        <f>Índices_2024!F12</f>
        <v>6858.17</v>
      </c>
      <c r="G13" s="431">
        <f>$F$23/F13*E13</f>
        <v>6482780.561173752</v>
      </c>
      <c r="J13" s="3"/>
    </row>
    <row r="14" spans="1:18" x14ac:dyDescent="0.25">
      <c r="B14" s="427" t="s">
        <v>328</v>
      </c>
      <c r="C14" s="432">
        <v>1469695.47</v>
      </c>
      <c r="D14" s="433">
        <v>7764229.0899999999</v>
      </c>
      <c r="E14" s="429">
        <f t="shared" si="0"/>
        <v>9233924.5600000005</v>
      </c>
      <c r="F14" s="430">
        <f>Índices_2024!F13</f>
        <v>6869.14</v>
      </c>
      <c r="G14" s="431">
        <f>$F$23/F14*E14</f>
        <v>9544933.0394023135</v>
      </c>
      <c r="J14" s="3"/>
    </row>
    <row r="15" spans="1:18" x14ac:dyDescent="0.25">
      <c r="B15" s="427" t="s">
        <v>329</v>
      </c>
      <c r="C15" s="432">
        <v>1176398.8</v>
      </c>
      <c r="D15" s="422">
        <v>5436107.71</v>
      </c>
      <c r="E15" s="429">
        <f t="shared" si="0"/>
        <v>6612506.5099999998</v>
      </c>
      <c r="F15" s="430">
        <f>Índices_2024!F14</f>
        <v>6895.24</v>
      </c>
      <c r="G15" s="431">
        <f>$F$23/F15*E15</f>
        <v>6809349.9971364308</v>
      </c>
      <c r="J15" s="3"/>
    </row>
    <row r="16" spans="1:18" x14ac:dyDescent="0.25">
      <c r="B16" s="427" t="s">
        <v>330</v>
      </c>
      <c r="C16" s="432">
        <v>1207788.76</v>
      </c>
      <c r="D16" s="422">
        <v>6182982.3699999992</v>
      </c>
      <c r="E16" s="429">
        <f t="shared" si="0"/>
        <v>7390771.129999999</v>
      </c>
      <c r="F16" s="430">
        <f>Índices_2024!F15</f>
        <v>6926.96</v>
      </c>
      <c r="G16" s="431">
        <f t="shared" ref="G16:G23" si="1">$F$23/F16*E16</f>
        <v>7575930.9146530358</v>
      </c>
      <c r="J16" s="3"/>
      <c r="L16" s="21"/>
    </row>
    <row r="17" spans="2:10" x14ac:dyDescent="0.25">
      <c r="B17" s="427" t="s">
        <v>331</v>
      </c>
      <c r="C17" s="432"/>
      <c r="D17" s="423">
        <v>8267768.8599999994</v>
      </c>
      <c r="E17" s="429">
        <f t="shared" si="0"/>
        <v>8267768.8599999994</v>
      </c>
      <c r="F17" s="430">
        <f>Índices_2024!F16</f>
        <v>6941.51</v>
      </c>
      <c r="G17" s="431">
        <f t="shared" si="1"/>
        <v>8457135.8091294263</v>
      </c>
      <c r="J17" s="3"/>
    </row>
    <row r="18" spans="2:10" x14ac:dyDescent="0.25">
      <c r="B18" s="427" t="s">
        <v>332</v>
      </c>
      <c r="C18" s="432">
        <v>810517.66</v>
      </c>
      <c r="D18" s="423">
        <v>0</v>
      </c>
      <c r="E18" s="429">
        <f t="shared" si="0"/>
        <v>810517.66</v>
      </c>
      <c r="F18" s="430">
        <f>Índices_2024!F17</f>
        <v>6967.89</v>
      </c>
      <c r="G18" s="431">
        <f t="shared" si="1"/>
        <v>825943.09680979466</v>
      </c>
      <c r="J18" s="3"/>
    </row>
    <row r="19" spans="2:10" x14ac:dyDescent="0.25">
      <c r="B19" s="427" t="s">
        <v>333</v>
      </c>
      <c r="C19" s="432"/>
      <c r="D19" s="434">
        <v>0</v>
      </c>
      <c r="E19" s="429">
        <f t="shared" si="0"/>
        <v>0</v>
      </c>
      <c r="F19" s="430">
        <f>Índices_2024!F18</f>
        <v>6966.5</v>
      </c>
      <c r="G19" s="431">
        <f t="shared" si="1"/>
        <v>0</v>
      </c>
      <c r="J19" s="3"/>
    </row>
    <row r="20" spans="2:10" x14ac:dyDescent="0.25">
      <c r="B20" s="427" t="s">
        <v>334</v>
      </c>
      <c r="C20" s="432">
        <v>2993481.76</v>
      </c>
      <c r="D20" s="435">
        <v>0</v>
      </c>
      <c r="E20" s="429">
        <f t="shared" si="0"/>
        <v>2993481.76</v>
      </c>
      <c r="F20" s="430">
        <f>Índices_2024!F19</f>
        <v>6997.15</v>
      </c>
      <c r="G20" s="431">
        <f t="shared" si="1"/>
        <v>3037696.3816525298</v>
      </c>
      <c r="J20" s="3"/>
    </row>
    <row r="21" spans="2:10" x14ac:dyDescent="0.25">
      <c r="B21" s="427" t="s">
        <v>335</v>
      </c>
      <c r="C21" s="432"/>
      <c r="D21" s="422"/>
      <c r="E21" s="429">
        <f t="shared" si="0"/>
        <v>0</v>
      </c>
      <c r="F21" s="430">
        <f>Índices_2024!F20</f>
        <v>7036.33</v>
      </c>
      <c r="G21" s="431">
        <f t="shared" si="1"/>
        <v>0</v>
      </c>
      <c r="J21" s="3"/>
    </row>
    <row r="22" spans="2:10" x14ac:dyDescent="0.25">
      <c r="B22" s="427" t="s">
        <v>336</v>
      </c>
      <c r="C22" s="432"/>
      <c r="D22" s="422"/>
      <c r="E22" s="429">
        <f t="shared" si="0"/>
        <v>0</v>
      </c>
      <c r="F22" s="430">
        <f>Índices_2024!F21</f>
        <v>7063.77</v>
      </c>
      <c r="G22" s="431">
        <f t="shared" si="1"/>
        <v>0</v>
      </c>
      <c r="J22" s="3"/>
    </row>
    <row r="23" spans="2:10" x14ac:dyDescent="0.25">
      <c r="B23" s="427" t="s">
        <v>337</v>
      </c>
      <c r="C23" s="432"/>
      <c r="D23" s="422"/>
      <c r="E23" s="429">
        <f t="shared" si="0"/>
        <v>0</v>
      </c>
      <c r="F23" s="430">
        <f>Índices_2024!F22</f>
        <v>7100.5</v>
      </c>
      <c r="G23" s="431">
        <f t="shared" si="1"/>
        <v>0</v>
      </c>
      <c r="J23" s="3"/>
    </row>
    <row r="24" spans="2:10" x14ac:dyDescent="0.25">
      <c r="B24" s="419" t="s">
        <v>64</v>
      </c>
      <c r="C24" s="424">
        <f>SUM(C11:C23)</f>
        <v>11308626.869999999</v>
      </c>
      <c r="D24" s="424">
        <f>SUM(D11:D23)</f>
        <v>41797902.530000001</v>
      </c>
      <c r="E24" s="424">
        <f>SUM(E11:E23)</f>
        <v>53106529.399999999</v>
      </c>
      <c r="F24" s="425"/>
      <c r="G24" s="426">
        <f>SUM(G11:G23)</f>
        <v>54800436.864975445</v>
      </c>
      <c r="I24" s="372"/>
      <c r="J24" s="373"/>
    </row>
    <row r="25" spans="2:10" x14ac:dyDescent="0.25">
      <c r="B25" s="410"/>
      <c r="C25" s="409"/>
      <c r="D25" s="411"/>
      <c r="E25" s="411"/>
    </row>
    <row r="26" spans="2:10" x14ac:dyDescent="0.25">
      <c r="B26" s="410"/>
      <c r="C26" s="409"/>
      <c r="D26" s="411"/>
      <c r="E26" s="411"/>
      <c r="G26" s="18"/>
    </row>
    <row r="27" spans="2:10" x14ac:dyDescent="0.25">
      <c r="B27" s="412"/>
      <c r="C27" s="385"/>
      <c r="D27" s="385"/>
      <c r="E27" s="385"/>
      <c r="G27" s="476"/>
    </row>
    <row r="28" spans="2:10" s="21" customFormat="1" x14ac:dyDescent="0.25">
      <c r="B28" s="385"/>
      <c r="C28" s="385"/>
      <c r="D28" s="385"/>
      <c r="E28" s="385"/>
      <c r="F28" s="385"/>
      <c r="G28" s="343"/>
      <c r="H28" s="477"/>
    </row>
    <row r="29" spans="2:10" x14ac:dyDescent="0.25">
      <c r="B29" s="21"/>
      <c r="C29" s="21"/>
      <c r="D29" s="21"/>
      <c r="E29" s="21"/>
      <c r="F29" s="21"/>
      <c r="G29" s="18"/>
    </row>
    <row r="30" spans="2:10" x14ac:dyDescent="0.25">
      <c r="B30" s="535"/>
      <c r="C30" s="535"/>
      <c r="D30" s="535"/>
      <c r="E30" s="407"/>
      <c r="F30" s="401"/>
      <c r="G30" s="3"/>
      <c r="H30" s="400"/>
    </row>
    <row r="31" spans="2:10" x14ac:dyDescent="0.25">
      <c r="B31" s="535"/>
      <c r="C31" s="535"/>
      <c r="D31" s="535"/>
      <c r="E31" s="407"/>
      <c r="F31" s="408"/>
      <c r="G31" s="3"/>
      <c r="H31" s="71"/>
    </row>
    <row r="32" spans="2:10" x14ac:dyDescent="0.25">
      <c r="B32" s="535"/>
      <c r="C32" s="535"/>
      <c r="D32" s="535"/>
      <c r="E32" s="407"/>
      <c r="F32" s="401"/>
      <c r="H32" s="401"/>
    </row>
    <row r="33" spans="2:8" x14ac:dyDescent="0.25">
      <c r="B33" s="535"/>
      <c r="C33" s="535"/>
      <c r="D33" s="535"/>
      <c r="E33" s="407"/>
      <c r="F33" s="408"/>
      <c r="G33" s="71"/>
      <c r="H33" s="23"/>
    </row>
    <row r="34" spans="2:8" x14ac:dyDescent="0.25">
      <c r="B34" s="531"/>
      <c r="C34" s="531"/>
      <c r="D34" s="531"/>
      <c r="E34" s="413"/>
      <c r="F34" s="414"/>
      <c r="H34" s="401"/>
    </row>
    <row r="35" spans="2:8" x14ac:dyDescent="0.25">
      <c r="D35" s="23"/>
      <c r="E35" s="23"/>
    </row>
    <row r="36" spans="2:8" x14ac:dyDescent="0.25">
      <c r="D36" s="182"/>
      <c r="E36" s="182"/>
    </row>
    <row r="37" spans="2:8" x14ac:dyDescent="0.25">
      <c r="D37" s="23"/>
      <c r="E37" s="23"/>
    </row>
    <row r="38" spans="2:8" x14ac:dyDescent="0.25">
      <c r="D38" s="23"/>
      <c r="E38" s="23"/>
    </row>
    <row r="39" spans="2:8" x14ac:dyDescent="0.25">
      <c r="D39" s="23"/>
      <c r="E39" s="23"/>
      <c r="F39" s="178"/>
      <c r="G39" s="178"/>
    </row>
    <row r="40" spans="2:8" x14ac:dyDescent="0.25">
      <c r="D40" s="23"/>
      <c r="E40" s="23"/>
      <c r="F40" s="178"/>
      <c r="G40" s="178"/>
    </row>
    <row r="41" spans="2:8" hidden="1" x14ac:dyDescent="0.25">
      <c r="D41" s="23"/>
      <c r="E41" s="23"/>
    </row>
    <row r="42" spans="2:8" ht="15" hidden="1" customHeight="1" x14ac:dyDescent="0.25">
      <c r="D42" s="23"/>
      <c r="E42" s="23"/>
    </row>
    <row r="43" spans="2:8" ht="15" hidden="1" customHeight="1" x14ac:dyDescent="0.25">
      <c r="D43" s="23"/>
      <c r="E43" s="23"/>
    </row>
    <row r="44" spans="2:8" ht="15" hidden="1" customHeight="1" x14ac:dyDescent="0.25">
      <c r="D44" s="23"/>
      <c r="E44" s="23"/>
    </row>
    <row r="45" spans="2:8" ht="15" hidden="1" customHeight="1" x14ac:dyDescent="0.25">
      <c r="D45" s="23"/>
      <c r="E45" s="23"/>
    </row>
    <row r="46" spans="2:8" hidden="1" x14ac:dyDescent="0.25">
      <c r="D46" s="23"/>
      <c r="E46" s="23"/>
    </row>
    <row r="47" spans="2:8" hidden="1" x14ac:dyDescent="0.25">
      <c r="D47" s="23"/>
      <c r="E47" s="23"/>
    </row>
    <row r="48" spans="2: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</sheetData>
  <mergeCells count="7">
    <mergeCell ref="B34:D34"/>
    <mergeCell ref="B9:B10"/>
    <mergeCell ref="F9:F10"/>
    <mergeCell ref="B30:D30"/>
    <mergeCell ref="B31:D31"/>
    <mergeCell ref="B32:D32"/>
    <mergeCell ref="B33:D33"/>
  </mergeCells>
  <phoneticPr fontId="31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theme="3" tint="-0.499984740745262"/>
  </sheetPr>
  <dimension ref="A1:P43"/>
  <sheetViews>
    <sheetView showGridLines="0" zoomScale="90" zoomScaleNormal="90" workbookViewId="0">
      <selection activeCell="K23" sqref="K23"/>
    </sheetView>
  </sheetViews>
  <sheetFormatPr defaultColWidth="0" defaultRowHeight="15" zeroHeight="1" x14ac:dyDescent="0.25"/>
  <cols>
    <col min="1" max="1" width="11.28515625" style="9" customWidth="1"/>
    <col min="2" max="2" width="37.5703125" style="9" customWidth="1"/>
    <col min="3" max="3" width="19.5703125" style="9" customWidth="1"/>
    <col min="4" max="5" width="14.5703125" style="9" customWidth="1"/>
    <col min="6" max="6" width="21.28515625" style="9" customWidth="1"/>
    <col min="7" max="7" width="20.28515625" style="9" customWidth="1"/>
    <col min="8" max="8" width="20.7109375" style="9" bestFit="1" customWidth="1"/>
    <col min="9" max="10" width="18.7109375" customWidth="1"/>
    <col min="11" max="11" width="25.5703125" customWidth="1"/>
    <col min="12" max="12" width="17.42578125" bestFit="1" customWidth="1"/>
    <col min="13" max="13" width="9.140625" customWidth="1"/>
    <col min="14" max="14" width="14.7109375" customWidth="1"/>
    <col min="15" max="15" width="4.42578125" customWidth="1"/>
    <col min="16" max="16" width="10" hidden="1" customWidth="1"/>
    <col min="17" max="16384" width="9.140625" hidden="1"/>
  </cols>
  <sheetData>
    <row r="1" spans="1:16" s="9" customFormat="1" ht="3" customHeight="1" x14ac:dyDescent="0.2"/>
    <row r="2" spans="1:16" s="9" customFormat="1" ht="14.25" customHeight="1" x14ac:dyDescent="0.2"/>
    <row r="3" spans="1:16" s="9" customFormat="1" ht="18" customHeight="1" x14ac:dyDescent="0.2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s="9" customFormat="1" ht="14.25" customHeight="1" x14ac:dyDescent="0.2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s="9" customFormat="1" ht="20.100000000000001" customHeight="1" x14ac:dyDescent="0.2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</row>
    <row r="6" spans="1:16" s="9" customFormat="1" ht="14.25" x14ac:dyDescent="0.2"/>
    <row r="7" spans="1:16" s="10" customFormat="1" ht="18.75" x14ac:dyDescent="0.25">
      <c r="B7" s="122" t="s">
        <v>218</v>
      </c>
      <c r="C7" s="122"/>
      <c r="D7" s="122"/>
      <c r="E7" s="122"/>
      <c r="F7" s="122"/>
      <c r="G7" s="122"/>
      <c r="H7" s="122"/>
    </row>
    <row r="8" spans="1:16" s="10" customFormat="1" ht="18.75" x14ac:dyDescent="0.25">
      <c r="B8" s="122"/>
      <c r="C8" s="122"/>
      <c r="D8" s="122"/>
      <c r="E8" s="122"/>
      <c r="F8" s="122"/>
      <c r="G8" s="122"/>
      <c r="H8" s="122"/>
    </row>
    <row r="9" spans="1:16" s="10" customFormat="1" ht="18.95" customHeight="1" x14ac:dyDescent="0.25">
      <c r="B9" s="482"/>
      <c r="C9" s="482"/>
      <c r="D9" s="482"/>
      <c r="E9" s="213" t="s">
        <v>219</v>
      </c>
      <c r="F9" s="213" t="s">
        <v>220</v>
      </c>
      <c r="G9" s="122"/>
      <c r="H9" s="122"/>
    </row>
    <row r="10" spans="1:16" s="10" customFormat="1" ht="18.75" x14ac:dyDescent="0.25">
      <c r="B10" s="537" t="s">
        <v>221</v>
      </c>
      <c r="C10" s="537"/>
      <c r="D10" s="201" t="s">
        <v>178</v>
      </c>
      <c r="E10" s="300">
        <f>SUM('4ª RTP'!E14:E19)</f>
        <v>111759037.85265772</v>
      </c>
      <c r="F10" s="300">
        <f>'VPA 2025'!C32</f>
        <v>124041223.33637901</v>
      </c>
      <c r="G10" s="122"/>
      <c r="H10" s="122"/>
      <c r="I10" s="160"/>
      <c r="J10" s="160"/>
    </row>
    <row r="11" spans="1:16" s="10" customFormat="1" ht="18.75" x14ac:dyDescent="0.25">
      <c r="B11" s="537" t="s">
        <v>222</v>
      </c>
      <c r="C11" s="537"/>
      <c r="D11" s="201" t="s">
        <v>223</v>
      </c>
      <c r="E11" s="300">
        <f>'4ª RTP'!E13</f>
        <v>11126624.638</v>
      </c>
      <c r="F11" s="300">
        <f>'Bônus-Desconto'!K16</f>
        <v>12541135.384</v>
      </c>
      <c r="G11" s="122"/>
      <c r="H11" s="122"/>
      <c r="I11" s="160"/>
      <c r="J11" s="160"/>
    </row>
    <row r="12" spans="1:16" s="10" customFormat="1" ht="18.75" x14ac:dyDescent="0.25">
      <c r="B12" s="537" t="s">
        <v>224</v>
      </c>
      <c r="C12" s="537"/>
      <c r="D12" s="201" t="s">
        <v>225</v>
      </c>
      <c r="E12" s="300">
        <f>'VPB 2025'!D16</f>
        <v>2013774290.3076401</v>
      </c>
      <c r="F12" s="300">
        <f>'VPB 2025'!C27*F15</f>
        <v>2100560734.5709937</v>
      </c>
      <c r="G12" s="161"/>
      <c r="H12" s="331"/>
      <c r="I12" s="160"/>
      <c r="J12" s="160"/>
    </row>
    <row r="13" spans="1:16" s="10" customFormat="1" ht="18.75" x14ac:dyDescent="0.25">
      <c r="B13" s="537" t="s">
        <v>226</v>
      </c>
      <c r="C13" s="537"/>
      <c r="D13" s="201" t="s">
        <v>227</v>
      </c>
      <c r="E13" s="301">
        <f>'4ª RTP'!E58</f>
        <v>-95736080.315297842</v>
      </c>
      <c r="F13" s="301">
        <f>'CF - 2025'!P29</f>
        <v>12387067.689912466</v>
      </c>
      <c r="G13" s="161"/>
      <c r="H13" s="162"/>
      <c r="I13" s="160"/>
      <c r="J13" s="160"/>
    </row>
    <row r="14" spans="1:16" s="10" customFormat="1" ht="18.75" x14ac:dyDescent="0.25">
      <c r="B14" s="538" t="s">
        <v>228</v>
      </c>
      <c r="C14" s="538"/>
      <c r="D14" s="263" t="s">
        <v>229</v>
      </c>
      <c r="E14" s="301">
        <f>SUM(E10:E13)</f>
        <v>2040923872.483</v>
      </c>
      <c r="F14" s="301">
        <f>SUM(F10:F13)</f>
        <v>2249530160.9812851</v>
      </c>
      <c r="G14" s="318"/>
      <c r="H14" s="318"/>
      <c r="I14" s="163"/>
      <c r="J14" s="163"/>
    </row>
    <row r="15" spans="1:16" s="10" customFormat="1" ht="18.75" x14ac:dyDescent="0.25">
      <c r="B15" s="538" t="s">
        <v>230</v>
      </c>
      <c r="C15" s="538"/>
      <c r="D15" s="263" t="s">
        <v>116</v>
      </c>
      <c r="E15" s="301">
        <v>312845355.40958089</v>
      </c>
      <c r="F15" s="301">
        <f>'VPA 2025'!C13</f>
        <v>313860355.31000006</v>
      </c>
      <c r="G15" s="122"/>
      <c r="H15" s="162"/>
      <c r="I15" s="160"/>
      <c r="J15" s="163"/>
    </row>
    <row r="16" spans="1:16" s="10" customFormat="1" ht="18.75" x14ac:dyDescent="0.2">
      <c r="B16" s="195" t="s">
        <v>231</v>
      </c>
      <c r="C16" s="95"/>
      <c r="D16" s="78"/>
      <c r="E16" s="79"/>
      <c r="F16" s="12"/>
      <c r="G16" s="122"/>
      <c r="H16" s="122"/>
      <c r="I16" s="160"/>
      <c r="J16" s="160"/>
    </row>
    <row r="17" spans="1:12" s="10" customFormat="1" ht="18.75" x14ac:dyDescent="0.2">
      <c r="B17" s="368" t="s">
        <v>232</v>
      </c>
      <c r="C17" s="134"/>
      <c r="D17" s="78"/>
      <c r="E17" s="79"/>
      <c r="F17" s="9"/>
      <c r="G17" s="122"/>
      <c r="H17" s="162"/>
      <c r="I17" s="323"/>
      <c r="J17" s="323"/>
      <c r="K17" s="9"/>
      <c r="L17" s="9"/>
    </row>
    <row r="18" spans="1:12" s="11" customFormat="1" ht="18.75" x14ac:dyDescent="0.2">
      <c r="B18" s="9"/>
      <c r="C18" s="9"/>
      <c r="D18" s="9"/>
      <c r="E18" s="9"/>
      <c r="F18" s="9"/>
      <c r="G18" s="9"/>
      <c r="H18" s="318"/>
      <c r="I18" s="160"/>
      <c r="J18" s="391"/>
      <c r="K18" s="12"/>
      <c r="L18" s="12"/>
    </row>
    <row r="19" spans="1:12" s="11" customFormat="1" ht="18.95" customHeight="1" x14ac:dyDescent="0.2">
      <c r="B19" s="482" t="s">
        <v>233</v>
      </c>
      <c r="C19" s="482"/>
      <c r="D19" s="213" t="s">
        <v>234</v>
      </c>
      <c r="E19" s="220" t="s">
        <v>235</v>
      </c>
      <c r="F19" s="22"/>
      <c r="H19" s="318"/>
      <c r="I19" s="160"/>
      <c r="J19" s="163"/>
      <c r="K19" s="12"/>
      <c r="L19" s="9"/>
    </row>
    <row r="20" spans="1:12" s="11" customFormat="1" ht="17.100000000000001" customHeight="1" x14ac:dyDescent="0.25">
      <c r="B20" s="203" t="s">
        <v>236</v>
      </c>
      <c r="C20" s="204" t="s">
        <v>237</v>
      </c>
      <c r="D20" s="302">
        <f>E10/E15</f>
        <v>0.35723412836460827</v>
      </c>
      <c r="E20" s="302">
        <f>F10/F15</f>
        <v>0.39521150485496459</v>
      </c>
      <c r="F20" s="396"/>
      <c r="H20" s="318"/>
      <c r="I20" s="310"/>
      <c r="J20" s="393"/>
      <c r="K20" s="167"/>
      <c r="L20" s="9"/>
    </row>
    <row r="21" spans="1:12" s="11" customFormat="1" ht="17.100000000000001" customHeight="1" x14ac:dyDescent="0.25">
      <c r="B21" s="203" t="s">
        <v>238</v>
      </c>
      <c r="C21" s="204" t="s">
        <v>239</v>
      </c>
      <c r="D21" s="302">
        <f>E11/E15</f>
        <v>3.5565893645545382E-2</v>
      </c>
      <c r="E21" s="302">
        <f>F11/F15</f>
        <v>3.9957691921979482E-2</v>
      </c>
      <c r="F21" s="365"/>
      <c r="G21" s="396"/>
      <c r="H21" s="404"/>
      <c r="I21" s="310"/>
      <c r="J21" s="393"/>
      <c r="K21" s="167"/>
      <c r="L21" s="9"/>
    </row>
    <row r="22" spans="1:12" s="11" customFormat="1" ht="17.100000000000001" customHeight="1" x14ac:dyDescent="0.25">
      <c r="B22" s="203" t="s">
        <v>240</v>
      </c>
      <c r="C22" s="204" t="s">
        <v>241</v>
      </c>
      <c r="D22" s="302">
        <f>E12/E15</f>
        <v>6.4369639999007902</v>
      </c>
      <c r="E22" s="302">
        <f>F12/F15</f>
        <v>6.6926602835718727</v>
      </c>
      <c r="F22" s="396"/>
      <c r="G22" s="404"/>
      <c r="H22" s="404"/>
      <c r="I22" s="310"/>
      <c r="J22" s="393"/>
      <c r="K22" s="394"/>
      <c r="L22" s="9"/>
    </row>
    <row r="23" spans="1:12" s="11" customFormat="1" ht="17.100000000000001" customHeight="1" x14ac:dyDescent="0.25">
      <c r="B23" s="203" t="s">
        <v>242</v>
      </c>
      <c r="C23" s="204" t="s">
        <v>243</v>
      </c>
      <c r="D23" s="302">
        <f>E13/E15</f>
        <v>-0.3060172659106894</v>
      </c>
      <c r="E23" s="302">
        <f>F13/F15</f>
        <v>3.9466812167716282E-2</v>
      </c>
      <c r="F23" s="396"/>
      <c r="G23" s="404"/>
      <c r="H23" s="404"/>
      <c r="I23" s="310"/>
      <c r="J23" s="393"/>
      <c r="K23" s="167"/>
      <c r="L23" s="9"/>
    </row>
    <row r="24" spans="1:12" s="11" customFormat="1" ht="17.100000000000001" customHeight="1" x14ac:dyDescent="0.2">
      <c r="B24" s="482" t="s">
        <v>244</v>
      </c>
      <c r="C24" s="482"/>
      <c r="D24" s="303">
        <f>SUM(D20:D23)</f>
        <v>6.5237467560002544</v>
      </c>
      <c r="E24" s="303">
        <f>SUM(E20:E23)</f>
        <v>7.1672962925165331</v>
      </c>
      <c r="F24" s="17"/>
      <c r="G24" s="311"/>
      <c r="H24" s="311"/>
      <c r="I24" s="310"/>
      <c r="J24" s="310"/>
      <c r="K24" s="9"/>
      <c r="L24" s="17"/>
    </row>
    <row r="25" spans="1:12" s="199" customFormat="1" ht="15.75" x14ac:dyDescent="0.25">
      <c r="A25" s="12"/>
      <c r="B25" s="483" t="s">
        <v>245</v>
      </c>
      <c r="C25" s="484"/>
      <c r="D25" s="536">
        <f>E24/D24-1</f>
        <v>9.8647228438836887E-2</v>
      </c>
      <c r="E25" s="536"/>
      <c r="F25" s="389"/>
      <c r="G25" s="17"/>
      <c r="H25" s="325"/>
      <c r="I25" s="17"/>
      <c r="J25" s="9"/>
      <c r="K25" s="17"/>
      <c r="L25" s="198"/>
    </row>
    <row r="26" spans="1:12" s="198" customFormat="1" ht="6" customHeight="1" x14ac:dyDescent="0.2">
      <c r="A26" s="9"/>
      <c r="B26" s="108"/>
      <c r="C26" s="108"/>
      <c r="D26" s="166"/>
      <c r="E26" s="108"/>
      <c r="F26" s="108"/>
      <c r="G26" s="108"/>
      <c r="H26" s="72"/>
      <c r="I26" s="12"/>
      <c r="J26" s="9"/>
      <c r="K26" s="9"/>
    </row>
    <row r="27" spans="1:12" s="9" customFormat="1" ht="17.100000000000001" customHeight="1" x14ac:dyDescent="0.25">
      <c r="E27" s="167"/>
      <c r="F27" s="326"/>
      <c r="G27" s="395"/>
      <c r="H27" s="1"/>
      <c r="I27" s="167"/>
      <c r="J27"/>
      <c r="K27" s="26"/>
      <c r="L27"/>
    </row>
    <row r="28" spans="1:12" s="9" customFormat="1" ht="17.100000000000001" customHeight="1" x14ac:dyDescent="0.25">
      <c r="F28" s="110"/>
      <c r="G28" s="110"/>
      <c r="H28" s="324"/>
      <c r="I28" s="17"/>
      <c r="J28"/>
      <c r="K28"/>
      <c r="L28"/>
    </row>
    <row r="29" spans="1:12" s="9" customFormat="1" ht="16.5" customHeight="1" x14ac:dyDescent="0.25">
      <c r="F29" s="110"/>
      <c r="G29" s="110"/>
      <c r="H29" s="107"/>
      <c r="I29" s="79"/>
      <c r="J29"/>
      <c r="K29"/>
      <c r="L29"/>
    </row>
    <row r="30" spans="1:12" s="9" customFormat="1" x14ac:dyDescent="0.25">
      <c r="F30" s="110"/>
      <c r="G30" s="110"/>
      <c r="H30"/>
      <c r="I30" s="68"/>
      <c r="J30" s="73"/>
      <c r="K30"/>
      <c r="L30"/>
    </row>
    <row r="31" spans="1:12" s="9" customFormat="1" x14ac:dyDescent="0.25">
      <c r="F31" s="109"/>
      <c r="G31" s="109"/>
      <c r="H31"/>
      <c r="I31" s="144"/>
      <c r="J31" s="76"/>
      <c r="K31" s="26"/>
      <c r="L31"/>
    </row>
    <row r="32" spans="1:12" s="12" customFormat="1" ht="19.5" x14ac:dyDescent="0.25">
      <c r="B32" s="9"/>
      <c r="C32" s="9"/>
      <c r="D32" s="9"/>
      <c r="E32" s="9"/>
      <c r="F32" s="109"/>
      <c r="G32" s="109"/>
      <c r="H32" s="77"/>
      <c r="I32" s="144"/>
      <c r="J32" s="77"/>
      <c r="K32" s="80"/>
      <c r="L32"/>
    </row>
    <row r="33" spans="1:11" x14ac:dyDescent="0.25">
      <c r="A33" s="1"/>
      <c r="F33" s="108"/>
      <c r="G33" s="108"/>
      <c r="H33" s="73"/>
      <c r="I33" s="142"/>
      <c r="K33" s="80"/>
    </row>
    <row r="34" spans="1:11" ht="19.5" x14ac:dyDescent="0.25">
      <c r="A34" s="1"/>
      <c r="H34" s="75"/>
    </row>
    <row r="35" spans="1:11" x14ac:dyDescent="0.25">
      <c r="A35" s="1"/>
    </row>
    <row r="36" spans="1:11" x14ac:dyDescent="0.25">
      <c r="A36" s="1"/>
      <c r="I36" s="143"/>
    </row>
    <row r="37" spans="1:11" ht="19.5" hidden="1" x14ac:dyDescent="0.25">
      <c r="A37" s="1"/>
      <c r="I37" s="74"/>
    </row>
    <row r="38" spans="1:11" ht="19.5" hidden="1" x14ac:dyDescent="0.25">
      <c r="A38" s="1"/>
      <c r="I38" s="74"/>
    </row>
    <row r="39" spans="1:11" hidden="1" x14ac:dyDescent="0.25">
      <c r="A39" s="1"/>
    </row>
    <row r="40" spans="1:11" hidden="1" x14ac:dyDescent="0.25">
      <c r="A40" s="1"/>
    </row>
    <row r="41" spans="1:11" ht="21" hidden="1" customHeight="1" x14ac:dyDescent="0.25">
      <c r="A41" s="1"/>
    </row>
    <row r="42" spans="1:11" ht="21.75" hidden="1" customHeight="1" x14ac:dyDescent="0.25"/>
    <row r="43" spans="1:11" hidden="1" x14ac:dyDescent="0.25">
      <c r="D43" s="167"/>
    </row>
  </sheetData>
  <mergeCells count="11">
    <mergeCell ref="D25:E25"/>
    <mergeCell ref="B9:D9"/>
    <mergeCell ref="B19:C19"/>
    <mergeCell ref="B24:C24"/>
    <mergeCell ref="B25:C25"/>
    <mergeCell ref="B10:C10"/>
    <mergeCell ref="B11:C11"/>
    <mergeCell ref="B12:C12"/>
    <mergeCell ref="B13:C13"/>
    <mergeCell ref="B14:C14"/>
    <mergeCell ref="B15:C15"/>
  </mergeCells>
  <phoneticPr fontId="31" type="noConversion"/>
  <hyperlinks>
    <hyperlink ref="B17" r:id="rId1" display="Disponível em: Nota Técnica N.º 11/2021 - ADASA/SEF/COEE " xr:uid="{53473FA6-8AD2-472F-9182-F2A17866B92B}"/>
  </hyperlinks>
  <pageMargins left="0.511811024" right="0.511811024" top="0.78740157499999996" bottom="0.78740157499999996" header="0.31496062000000002" footer="0.31496062000000002"/>
  <pageSetup orientation="portrait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0F71C-B416-4DA0-B182-7DC5F8C4D8C1}">
  <sheetPr>
    <tabColor theme="3" tint="-0.499984740745262"/>
  </sheetPr>
  <dimension ref="A1:T63"/>
  <sheetViews>
    <sheetView showGridLines="0" zoomScale="90" zoomScaleNormal="90" workbookViewId="0">
      <selection activeCell="Q8" sqref="Q8"/>
    </sheetView>
  </sheetViews>
  <sheetFormatPr defaultColWidth="0" defaultRowHeight="0" customHeight="1" zeroHeight="1" x14ac:dyDescent="0.25"/>
  <cols>
    <col min="1" max="1" width="4.85546875" style="9" customWidth="1"/>
    <col min="2" max="3" width="16.28515625" style="9" customWidth="1"/>
    <col min="4" max="4" width="15.7109375" style="9" customWidth="1"/>
    <col min="5" max="5" width="16.28515625" style="9" customWidth="1"/>
    <col min="6" max="6" width="10.7109375" style="9" customWidth="1"/>
    <col min="7" max="7" width="10.7109375" customWidth="1"/>
    <col min="8" max="9" width="16.28515625" customWidth="1"/>
    <col min="10" max="10" width="15.7109375" customWidth="1"/>
    <col min="11" max="11" width="16.28515625" customWidth="1"/>
    <col min="12" max="13" width="10.7109375" customWidth="1"/>
    <col min="14" max="14" width="15.7109375" customWidth="1"/>
    <col min="15" max="15" width="16" bestFit="1" customWidth="1"/>
    <col min="16" max="16" width="5.28515625" customWidth="1"/>
    <col min="17" max="17" width="63.5703125" customWidth="1"/>
    <col min="18" max="18" width="4.140625" customWidth="1"/>
    <col min="19" max="16384" width="9.140625" hidden="1"/>
  </cols>
  <sheetData>
    <row r="1" spans="1:20" s="9" customFormat="1" ht="3" customHeight="1" x14ac:dyDescent="0.2"/>
    <row r="2" spans="1:20" s="9" customFormat="1" ht="14.25" x14ac:dyDescent="0.2"/>
    <row r="3" spans="1:20" s="9" customFormat="1" ht="18" x14ac:dyDescent="0.2">
      <c r="A3" s="123"/>
      <c r="B3" s="543"/>
      <c r="C3" s="543"/>
      <c r="D3" s="543"/>
      <c r="E3" s="543"/>
      <c r="F3" s="54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</row>
    <row r="4" spans="1:20" s="9" customFormat="1" ht="14.25" x14ac:dyDescent="0.2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</row>
    <row r="5" spans="1:20" s="9" customFormat="1" ht="20.100000000000001" customHeight="1" x14ac:dyDescent="0.2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</row>
    <row r="6" spans="1:20" s="9" customFormat="1" ht="14.25" x14ac:dyDescent="0.2"/>
    <row r="7" spans="1:20" s="10" customFormat="1" ht="18.75" x14ac:dyDescent="0.2">
      <c r="B7" s="122" t="s">
        <v>246</v>
      </c>
      <c r="C7" s="11"/>
      <c r="D7" s="11"/>
    </row>
    <row r="8" spans="1:20" s="11" customFormat="1" ht="15" customHeight="1" x14ac:dyDescent="0.2">
      <c r="B8" s="9"/>
      <c r="C8" s="9"/>
      <c r="D8" s="9"/>
      <c r="E8" s="9"/>
      <c r="F8" s="12"/>
    </row>
    <row r="9" spans="1:20" s="11" customFormat="1" ht="15" customHeight="1" x14ac:dyDescent="0.2">
      <c r="A9" s="107"/>
      <c r="B9" s="545" t="s">
        <v>247</v>
      </c>
      <c r="C9" s="545"/>
      <c r="D9" s="545"/>
      <c r="E9" s="545"/>
      <c r="F9" s="116"/>
      <c r="H9" s="545" t="s">
        <v>248</v>
      </c>
      <c r="I9" s="545"/>
      <c r="J9" s="545"/>
      <c r="K9" s="545"/>
    </row>
    <row r="10" spans="1:20" s="11" customFormat="1" ht="15" customHeight="1" x14ac:dyDescent="0.2">
      <c r="A10" s="107"/>
      <c r="B10" s="544" t="s">
        <v>249</v>
      </c>
      <c r="C10" s="544"/>
      <c r="D10" s="544"/>
      <c r="E10" s="544"/>
      <c r="F10" s="117"/>
      <c r="H10" s="544" t="s">
        <v>250</v>
      </c>
      <c r="I10" s="544"/>
      <c r="J10" s="544"/>
      <c r="K10" s="544"/>
    </row>
    <row r="11" spans="1:20" s="11" customFormat="1" ht="14.25" x14ac:dyDescent="0.2">
      <c r="A11" s="107"/>
      <c r="B11" s="544"/>
      <c r="C11" s="544"/>
      <c r="D11" s="544"/>
      <c r="E11" s="544"/>
      <c r="F11" s="117"/>
      <c r="H11" s="544"/>
      <c r="I11" s="544"/>
      <c r="J11" s="544"/>
      <c r="K11" s="544"/>
    </row>
    <row r="12" spans="1:20" s="11" customFormat="1" ht="39.75" customHeight="1" x14ac:dyDescent="0.2">
      <c r="A12" s="107"/>
      <c r="B12" s="304" t="s">
        <v>66</v>
      </c>
      <c r="C12" s="304" t="s">
        <v>251</v>
      </c>
      <c r="D12" s="304" t="s">
        <v>252</v>
      </c>
      <c r="E12" s="304" t="s">
        <v>253</v>
      </c>
      <c r="F12" s="117"/>
      <c r="H12" s="304" t="s">
        <v>66</v>
      </c>
      <c r="I12" s="304" t="s">
        <v>251</v>
      </c>
      <c r="J12" s="304" t="s">
        <v>252</v>
      </c>
      <c r="K12" s="304" t="s">
        <v>253</v>
      </c>
    </row>
    <row r="13" spans="1:20" s="11" customFormat="1" ht="14.25" x14ac:dyDescent="0.2">
      <c r="A13" s="107"/>
      <c r="B13" s="539" t="s">
        <v>254</v>
      </c>
      <c r="C13" s="305" t="s">
        <v>69</v>
      </c>
      <c r="D13" s="546">
        <v>10.175997104035394</v>
      </c>
      <c r="E13" s="306">
        <v>3.7611962085210182</v>
      </c>
      <c r="F13" s="455"/>
      <c r="G13" s="463"/>
      <c r="H13" s="539" t="s">
        <v>254</v>
      </c>
      <c r="I13" s="305" t="s">
        <v>69</v>
      </c>
      <c r="J13" s="550">
        <f>D13*(1+$E$37)</f>
        <v>11.179831014950116</v>
      </c>
      <c r="K13" s="319">
        <f>E13*(1+$E$37)</f>
        <v>4.1322277901062785</v>
      </c>
      <c r="L13" s="398"/>
      <c r="M13" s="164"/>
    </row>
    <row r="14" spans="1:20" s="11" customFormat="1" ht="15" customHeight="1" x14ac:dyDescent="0.2">
      <c r="A14" s="107"/>
      <c r="B14" s="539"/>
      <c r="C14" s="305" t="s">
        <v>70</v>
      </c>
      <c r="D14" s="547"/>
      <c r="E14" s="306">
        <v>4.5111279678887062</v>
      </c>
      <c r="F14" s="455"/>
      <c r="G14" s="185"/>
      <c r="H14" s="539"/>
      <c r="I14" s="305" t="s">
        <v>70</v>
      </c>
      <c r="J14" s="550"/>
      <c r="K14" s="319">
        <f t="shared" ref="K14:K34" si="0">E14*(1+$E$37)</f>
        <v>4.9561382390538498</v>
      </c>
      <c r="L14" s="398"/>
      <c r="M14" s="164"/>
      <c r="O14" s="17"/>
    </row>
    <row r="15" spans="1:20" s="11" customFormat="1" ht="14.25" x14ac:dyDescent="0.2">
      <c r="A15" s="107"/>
      <c r="B15" s="539"/>
      <c r="C15" s="305" t="s">
        <v>71</v>
      </c>
      <c r="D15" s="547"/>
      <c r="E15" s="306">
        <v>8.941494053999353</v>
      </c>
      <c r="F15" s="455"/>
      <c r="G15" s="185"/>
      <c r="H15" s="539"/>
      <c r="I15" s="305" t="s">
        <v>71</v>
      </c>
      <c r="J15" s="550"/>
      <c r="K15" s="319">
        <f t="shared" si="0"/>
        <v>9.8235476605287282</v>
      </c>
      <c r="L15" s="398"/>
      <c r="M15" s="164"/>
    </row>
    <row r="16" spans="1:20" s="9" customFormat="1" ht="15" customHeight="1" x14ac:dyDescent="0.2">
      <c r="A16" s="108"/>
      <c r="B16" s="539"/>
      <c r="C16" s="305" t="s">
        <v>72</v>
      </c>
      <c r="D16" s="547"/>
      <c r="E16" s="306">
        <v>12.968050731219709</v>
      </c>
      <c r="F16" s="455"/>
      <c r="G16" s="187"/>
      <c r="H16" s="539"/>
      <c r="I16" s="305" t="s">
        <v>72</v>
      </c>
      <c r="J16" s="550"/>
      <c r="K16" s="319">
        <f t="shared" si="0"/>
        <v>14.247312994108764</v>
      </c>
      <c r="L16" s="394"/>
      <c r="M16" s="164"/>
    </row>
    <row r="17" spans="1:13" s="12" customFormat="1" ht="15" customHeight="1" x14ac:dyDescent="0.2">
      <c r="A17" s="119"/>
      <c r="B17" s="539"/>
      <c r="C17" s="305" t="s">
        <v>73</v>
      </c>
      <c r="D17" s="547"/>
      <c r="E17" s="306">
        <v>19.452076096829561</v>
      </c>
      <c r="F17" s="456"/>
      <c r="G17" s="188"/>
      <c r="H17" s="539"/>
      <c r="I17" s="305" t="s">
        <v>73</v>
      </c>
      <c r="J17" s="550"/>
      <c r="K17" s="319">
        <f t="shared" si="0"/>
        <v>21.370969491163144</v>
      </c>
      <c r="L17" s="399"/>
      <c r="M17" s="164"/>
    </row>
    <row r="18" spans="1:13" s="12" customFormat="1" ht="15" customHeight="1" x14ac:dyDescent="0.2">
      <c r="A18" s="119"/>
      <c r="B18" s="539"/>
      <c r="C18" s="305" t="s">
        <v>255</v>
      </c>
      <c r="D18" s="548"/>
      <c r="E18" s="306">
        <v>25.278468996532364</v>
      </c>
      <c r="F18" s="456"/>
      <c r="G18" s="188"/>
      <c r="H18" s="539"/>
      <c r="I18" s="305" t="s">
        <v>255</v>
      </c>
      <c r="J18" s="550"/>
      <c r="K18" s="319">
        <f t="shared" si="0"/>
        <v>27.772119902217348</v>
      </c>
      <c r="L18" s="399"/>
      <c r="M18" s="164"/>
    </row>
    <row r="19" spans="1:13" s="9" customFormat="1" ht="15" customHeight="1" x14ac:dyDescent="0.2">
      <c r="A19" s="108"/>
      <c r="B19" s="539" t="s">
        <v>76</v>
      </c>
      <c r="C19" s="305" t="s">
        <v>69</v>
      </c>
      <c r="D19" s="540">
        <v>5.0879985520176971</v>
      </c>
      <c r="E19" s="306">
        <v>1.8805981042605091</v>
      </c>
      <c r="F19" s="455"/>
      <c r="G19" s="186"/>
      <c r="H19" s="539" t="s">
        <v>76</v>
      </c>
      <c r="I19" s="305" t="s">
        <v>69</v>
      </c>
      <c r="J19" s="549">
        <f>D19*(1+$E$37)</f>
        <v>5.5899155074750579</v>
      </c>
      <c r="K19" s="319">
        <f t="shared" si="0"/>
        <v>2.0661138950531392</v>
      </c>
      <c r="L19" s="394"/>
      <c r="M19" s="164"/>
    </row>
    <row r="20" spans="1:13" s="9" customFormat="1" ht="15" customHeight="1" x14ac:dyDescent="0.2">
      <c r="A20" s="108"/>
      <c r="B20" s="539"/>
      <c r="C20" s="305" t="s">
        <v>70</v>
      </c>
      <c r="D20" s="541"/>
      <c r="E20" s="306">
        <v>2.2613326897856427</v>
      </c>
      <c r="F20" s="457"/>
      <c r="G20" s="186"/>
      <c r="H20" s="539"/>
      <c r="I20" s="305" t="s">
        <v>70</v>
      </c>
      <c r="J20" s="549"/>
      <c r="K20" s="319">
        <f t="shared" si="0"/>
        <v>2.4844068922111364</v>
      </c>
      <c r="L20" s="394"/>
      <c r="M20" s="164"/>
    </row>
    <row r="21" spans="1:13" s="9" customFormat="1" ht="15" customHeight="1" x14ac:dyDescent="0.2">
      <c r="A21" s="108"/>
      <c r="B21" s="539"/>
      <c r="C21" s="305" t="s">
        <v>71</v>
      </c>
      <c r="D21" s="541"/>
      <c r="E21" s="306">
        <v>4.4765157328409666</v>
      </c>
      <c r="F21" s="457"/>
      <c r="G21" s="186"/>
      <c r="H21" s="539"/>
      <c r="I21" s="305" t="s">
        <v>71</v>
      </c>
      <c r="J21" s="549"/>
      <c r="K21" s="319">
        <f t="shared" si="0"/>
        <v>4.918111602948577</v>
      </c>
      <c r="L21" s="394"/>
      <c r="M21" s="164"/>
    </row>
    <row r="22" spans="1:13" s="9" customFormat="1" ht="15" customHeight="1" x14ac:dyDescent="0.2">
      <c r="A22" s="108"/>
      <c r="B22" s="539"/>
      <c r="C22" s="305" t="s">
        <v>72</v>
      </c>
      <c r="D22" s="541"/>
      <c r="E22" s="306">
        <v>6.4840253656098543</v>
      </c>
      <c r="F22" s="458"/>
      <c r="G22" s="186"/>
      <c r="H22" s="539"/>
      <c r="I22" s="305" t="s">
        <v>72</v>
      </c>
      <c r="J22" s="549"/>
      <c r="K22" s="319">
        <f t="shared" si="0"/>
        <v>7.1236564970543821</v>
      </c>
      <c r="L22" s="394"/>
      <c r="M22" s="164"/>
    </row>
    <row r="23" spans="1:13" s="9" customFormat="1" ht="15" customHeight="1" x14ac:dyDescent="0.2">
      <c r="A23" s="108"/>
      <c r="B23" s="539"/>
      <c r="C23" s="305" t="s">
        <v>73</v>
      </c>
      <c r="D23" s="541"/>
      <c r="E23" s="306">
        <v>19.452076096829561</v>
      </c>
      <c r="F23" s="455"/>
      <c r="G23" s="186"/>
      <c r="H23" s="539"/>
      <c r="I23" s="305" t="s">
        <v>73</v>
      </c>
      <c r="J23" s="549"/>
      <c r="K23" s="319">
        <f t="shared" si="0"/>
        <v>21.370969491163144</v>
      </c>
      <c r="L23" s="394"/>
      <c r="M23" s="164"/>
    </row>
    <row r="24" spans="1:13" s="9" customFormat="1" ht="15" customHeight="1" x14ac:dyDescent="0.2">
      <c r="A24" s="108"/>
      <c r="B24" s="539"/>
      <c r="C24" s="305" t="s">
        <v>255</v>
      </c>
      <c r="D24" s="542"/>
      <c r="E24" s="306">
        <v>25.278468996532364</v>
      </c>
      <c r="F24" s="455"/>
      <c r="G24" s="186"/>
      <c r="H24" s="539"/>
      <c r="I24" s="305" t="s">
        <v>255</v>
      </c>
      <c r="J24" s="549"/>
      <c r="K24" s="319">
        <f t="shared" si="0"/>
        <v>27.772119902217348</v>
      </c>
      <c r="L24" s="394"/>
      <c r="M24" s="164"/>
    </row>
    <row r="25" spans="1:13" s="9" customFormat="1" ht="15" customHeight="1" x14ac:dyDescent="0.2">
      <c r="A25" s="108"/>
      <c r="B25" s="539" t="s">
        <v>256</v>
      </c>
      <c r="C25" s="305" t="s">
        <v>77</v>
      </c>
      <c r="D25" s="540">
        <v>26.709108045172265</v>
      </c>
      <c r="E25" s="306">
        <v>7.7646780623762135</v>
      </c>
      <c r="F25" s="455"/>
      <c r="G25" s="186"/>
      <c r="H25" s="539" t="s">
        <v>256</v>
      </c>
      <c r="I25" s="305" t="s">
        <v>77</v>
      </c>
      <c r="J25" s="540">
        <f>D25*(1+$E$37)</f>
        <v>29.343887527901948</v>
      </c>
      <c r="K25" s="319">
        <f t="shared" si="0"/>
        <v>8.5306420329494657</v>
      </c>
      <c r="L25" s="394"/>
      <c r="M25" s="164"/>
    </row>
    <row r="26" spans="1:13" s="9" customFormat="1" ht="15" customHeight="1" x14ac:dyDescent="0.2">
      <c r="A26" s="108"/>
      <c r="B26" s="539"/>
      <c r="C26" s="305" t="s">
        <v>78</v>
      </c>
      <c r="D26" s="541"/>
      <c r="E26" s="306">
        <v>9.7029632250496221</v>
      </c>
      <c r="F26" s="455"/>
      <c r="G26" s="186"/>
      <c r="H26" s="539"/>
      <c r="I26" s="305" t="s">
        <v>78</v>
      </c>
      <c r="J26" s="541"/>
      <c r="K26" s="319">
        <f t="shared" si="0"/>
        <v>10.660133654844726</v>
      </c>
      <c r="L26" s="394"/>
      <c r="M26" s="164"/>
    </row>
    <row r="27" spans="1:13" s="9" customFormat="1" ht="15" customHeight="1" x14ac:dyDescent="0.2">
      <c r="A27" s="108"/>
      <c r="B27" s="539"/>
      <c r="C27" s="305" t="s">
        <v>257</v>
      </c>
      <c r="D27" s="541"/>
      <c r="E27" s="306">
        <v>12.518091675599095</v>
      </c>
      <c r="F27" s="455"/>
      <c r="G27" s="186"/>
      <c r="H27" s="539"/>
      <c r="I27" s="305" t="s">
        <v>257</v>
      </c>
      <c r="J27" s="541"/>
      <c r="K27" s="319">
        <f t="shared" si="0"/>
        <v>13.752966724740221</v>
      </c>
      <c r="L27" s="394"/>
      <c r="M27" s="164"/>
    </row>
    <row r="28" spans="1:13" s="9" customFormat="1" ht="15" customHeight="1" x14ac:dyDescent="0.2">
      <c r="A28" s="108"/>
      <c r="B28" s="539"/>
      <c r="C28" s="305" t="s">
        <v>258</v>
      </c>
      <c r="D28" s="541"/>
      <c r="E28" s="306">
        <v>15.517818713069845</v>
      </c>
      <c r="F28" s="455"/>
      <c r="G28" s="186"/>
      <c r="H28" s="539"/>
      <c r="I28" s="305" t="s">
        <v>258</v>
      </c>
      <c r="J28" s="541"/>
      <c r="K28" s="319">
        <f t="shared" si="0"/>
        <v>17.048608520530504</v>
      </c>
      <c r="L28" s="394"/>
      <c r="M28" s="164"/>
    </row>
    <row r="29" spans="1:13" s="9" customFormat="1" ht="15" customHeight="1" x14ac:dyDescent="0.2">
      <c r="A29" s="108"/>
      <c r="B29" s="539"/>
      <c r="C29" s="305" t="s">
        <v>259</v>
      </c>
      <c r="D29" s="542"/>
      <c r="E29" s="306">
        <v>18.309872340254159</v>
      </c>
      <c r="F29" s="455"/>
      <c r="G29" s="186"/>
      <c r="H29" s="539"/>
      <c r="I29" s="305" t="s">
        <v>259</v>
      </c>
      <c r="J29" s="542"/>
      <c r="K29" s="319">
        <f t="shared" si="0"/>
        <v>20.116090499689154</v>
      </c>
      <c r="L29" s="394"/>
      <c r="M29" s="164"/>
    </row>
    <row r="30" spans="1:13" s="9" customFormat="1" ht="15" customHeight="1" x14ac:dyDescent="0.2">
      <c r="A30" s="108"/>
      <c r="B30" s="539" t="s">
        <v>260</v>
      </c>
      <c r="C30" s="305" t="s">
        <v>77</v>
      </c>
      <c r="D30" s="540">
        <v>40.069430773599677</v>
      </c>
      <c r="E30" s="306">
        <v>11.641248387723028</v>
      </c>
      <c r="F30" s="455"/>
      <c r="G30" s="186"/>
      <c r="H30" s="539" t="s">
        <v>260</v>
      </c>
      <c r="I30" s="305" t="s">
        <v>77</v>
      </c>
      <c r="J30" s="549">
        <f>D30*(1+$E$37)</f>
        <v>44.022169064537124</v>
      </c>
      <c r="K30" s="319">
        <f t="shared" si="0"/>
        <v>12.789625276739983</v>
      </c>
      <c r="L30" s="394"/>
      <c r="M30" s="164"/>
    </row>
    <row r="31" spans="1:13" s="12" customFormat="1" ht="15" customHeight="1" x14ac:dyDescent="0.2">
      <c r="A31" s="119"/>
      <c r="B31" s="539"/>
      <c r="C31" s="305" t="s">
        <v>78</v>
      </c>
      <c r="D31" s="541"/>
      <c r="E31" s="306">
        <v>14.548676131733142</v>
      </c>
      <c r="F31" s="459"/>
      <c r="G31" s="188"/>
      <c r="H31" s="539"/>
      <c r="I31" s="305" t="s">
        <v>78</v>
      </c>
      <c r="J31" s="549"/>
      <c r="K31" s="319">
        <f t="shared" si="0"/>
        <v>15.983862709582874</v>
      </c>
      <c r="L31" s="399"/>
      <c r="M31" s="164"/>
    </row>
    <row r="32" spans="1:13" ht="15" x14ac:dyDescent="0.25">
      <c r="A32" s="107"/>
      <c r="B32" s="539"/>
      <c r="C32" s="305" t="s">
        <v>257</v>
      </c>
      <c r="D32" s="541"/>
      <c r="E32" s="306">
        <v>18.771368807557351</v>
      </c>
      <c r="F32" s="462"/>
      <c r="G32" s="190"/>
      <c r="H32" s="539"/>
      <c r="I32" s="305" t="s">
        <v>257</v>
      </c>
      <c r="J32" s="549"/>
      <c r="K32" s="319">
        <f t="shared" si="0"/>
        <v>20.62311231442612</v>
      </c>
      <c r="L32" s="397"/>
      <c r="M32" s="164"/>
    </row>
    <row r="33" spans="1:13" ht="15" customHeight="1" x14ac:dyDescent="0.25">
      <c r="A33" s="107"/>
      <c r="B33" s="539"/>
      <c r="C33" s="305" t="s">
        <v>258</v>
      </c>
      <c r="D33" s="541"/>
      <c r="E33" s="306">
        <v>23.270959363763481</v>
      </c>
      <c r="F33" s="460"/>
      <c r="G33" s="190"/>
      <c r="H33" s="539"/>
      <c r="I33" s="305" t="s">
        <v>258</v>
      </c>
      <c r="J33" s="549"/>
      <c r="K33" s="319">
        <f t="shared" si="0"/>
        <v>25.566575008111549</v>
      </c>
      <c r="L33" s="397"/>
      <c r="M33" s="164"/>
    </row>
    <row r="34" spans="1:13" ht="15" x14ac:dyDescent="0.25">
      <c r="A34" s="1"/>
      <c r="B34" s="539"/>
      <c r="C34" s="305" t="s">
        <v>259</v>
      </c>
      <c r="D34" s="542"/>
      <c r="E34" s="306">
        <v>27.459039804539952</v>
      </c>
      <c r="F34" s="461"/>
      <c r="G34" s="190"/>
      <c r="H34" s="539"/>
      <c r="I34" s="305" t="s">
        <v>259</v>
      </c>
      <c r="J34" s="549"/>
      <c r="K34" s="319">
        <f t="shared" si="0"/>
        <v>30.167797976849521</v>
      </c>
      <c r="L34" s="397"/>
      <c r="M34" s="164"/>
    </row>
    <row r="35" spans="1:13" s="193" customFormat="1" ht="15" customHeight="1" x14ac:dyDescent="0.25">
      <c r="A35" s="191"/>
      <c r="B35" s="369" t="s">
        <v>261</v>
      </c>
      <c r="C35" s="131"/>
      <c r="D35" s="132"/>
      <c r="E35" s="133"/>
      <c r="F35" s="192"/>
    </row>
    <row r="36" spans="1:13" ht="18.75" x14ac:dyDescent="0.25">
      <c r="A36" s="1"/>
      <c r="B36" s="128"/>
      <c r="C36" s="128"/>
      <c r="D36" s="129"/>
      <c r="E36" s="130"/>
      <c r="G36" s="78"/>
      <c r="H36" s="122"/>
      <c r="I36" s="11"/>
    </row>
    <row r="37" spans="1:13" ht="15.75" x14ac:dyDescent="0.25">
      <c r="A37" s="1"/>
      <c r="B37" s="483" t="s">
        <v>245</v>
      </c>
      <c r="C37" s="484"/>
      <c r="D37" s="484"/>
      <c r="E37" s="312">
        <f>'RTA 2025'!D25</f>
        <v>9.8647228438836887E-2</v>
      </c>
      <c r="F37" s="316"/>
      <c r="G37" s="26"/>
      <c r="H37" s="26"/>
      <c r="J37" s="397"/>
      <c r="K37" s="397"/>
    </row>
    <row r="38" spans="1:13" ht="15" customHeight="1" x14ac:dyDescent="0.25">
      <c r="E38" s="167"/>
      <c r="G38" s="78"/>
      <c r="H38" s="79"/>
      <c r="I38" s="12"/>
      <c r="J38" s="397"/>
      <c r="K38" s="397"/>
    </row>
    <row r="39" spans="1:13" ht="15" customHeight="1" x14ac:dyDescent="0.25">
      <c r="G39" s="78"/>
      <c r="H39" s="79"/>
      <c r="I39" s="9"/>
    </row>
    <row r="40" spans="1:13" ht="15" hidden="1" customHeight="1" x14ac:dyDescent="0.25">
      <c r="G40" s="108"/>
      <c r="H40" s="108"/>
      <c r="I40" s="9"/>
    </row>
    <row r="41" spans="1:13" ht="15" hidden="1" customHeight="1" x14ac:dyDescent="0.25">
      <c r="G41" s="96"/>
      <c r="H41" s="96"/>
      <c r="I41" s="9"/>
    </row>
    <row r="42" spans="1:13" ht="15" hidden="1" customHeight="1" x14ac:dyDescent="0.25">
      <c r="G42" s="78"/>
      <c r="H42" s="118"/>
      <c r="I42" s="9"/>
    </row>
    <row r="43" spans="1:13" ht="15" hidden="1" customHeight="1" x14ac:dyDescent="0.25">
      <c r="G43" s="78"/>
      <c r="H43" s="118"/>
      <c r="I43" s="9"/>
    </row>
    <row r="44" spans="1:13" ht="15" hidden="1" customHeight="1" x14ac:dyDescent="0.25">
      <c r="G44" s="78"/>
      <c r="H44" s="118"/>
      <c r="I44" s="9"/>
    </row>
    <row r="45" spans="1:13" ht="15" hidden="1" customHeight="1" x14ac:dyDescent="0.25">
      <c r="G45" s="78"/>
      <c r="H45" s="118"/>
      <c r="I45" s="9"/>
    </row>
    <row r="46" spans="1:13" ht="15" hidden="1" customHeight="1" x14ac:dyDescent="0.25">
      <c r="G46" s="78"/>
      <c r="H46" s="118"/>
      <c r="I46" s="9"/>
    </row>
    <row r="47" spans="1:13" ht="15" hidden="1" customHeight="1" x14ac:dyDescent="0.25">
      <c r="G47" s="78"/>
      <c r="H47" s="79"/>
      <c r="I47" s="9"/>
    </row>
    <row r="48" spans="1:13" ht="15" hidden="1" customHeight="1" x14ac:dyDescent="0.25">
      <c r="G48" s="78"/>
      <c r="H48" s="79"/>
      <c r="I48" s="9"/>
    </row>
    <row r="49" spans="7:9" ht="15" hidden="1" customHeight="1" x14ac:dyDescent="0.25">
      <c r="G49" s="78"/>
      <c r="H49" s="79"/>
      <c r="I49" s="69"/>
    </row>
    <row r="50" spans="7:9" ht="15" hidden="1" customHeight="1" x14ac:dyDescent="0.25">
      <c r="G50" s="103"/>
      <c r="H50" s="120"/>
      <c r="I50" s="9"/>
    </row>
    <row r="51" spans="7:9" ht="15" hidden="1" customHeight="1" x14ac:dyDescent="0.25">
      <c r="G51" s="21"/>
      <c r="H51" s="121"/>
      <c r="I51" s="70"/>
    </row>
    <row r="52" spans="7:9" ht="15" hidden="1" customHeight="1" x14ac:dyDescent="0.25">
      <c r="G52" s="21"/>
      <c r="H52" s="106"/>
    </row>
    <row r="53" spans="7:9" ht="15" hidden="1" customHeight="1" x14ac:dyDescent="0.25">
      <c r="G53" s="21"/>
      <c r="H53" s="21"/>
    </row>
    <row r="54" spans="7:9" ht="15" hidden="1" customHeight="1" x14ac:dyDescent="0.25">
      <c r="I54" s="71"/>
    </row>
    <row r="55" spans="7:9" ht="15" hidden="1" customHeight="1" x14ac:dyDescent="0.25">
      <c r="I55" s="71"/>
    </row>
    <row r="56" spans="7:9" ht="15" hidden="1" customHeight="1" x14ac:dyDescent="0.25">
      <c r="I56" s="71"/>
    </row>
    <row r="57" spans="7:9" ht="15" hidden="1" customHeight="1" x14ac:dyDescent="0.25"/>
    <row r="58" spans="7:9" ht="15" hidden="1" customHeight="1" x14ac:dyDescent="0.25">
      <c r="G58" s="74"/>
      <c r="H58" s="74"/>
    </row>
    <row r="59" spans="7:9" ht="15" hidden="1" customHeight="1" x14ac:dyDescent="0.25">
      <c r="H59" s="74"/>
    </row>
    <row r="60" spans="7:9" ht="15" hidden="1" customHeight="1" x14ac:dyDescent="0.25">
      <c r="I60" s="73"/>
    </row>
    <row r="61" spans="7:9" ht="15" hidden="1" customHeight="1" x14ac:dyDescent="0.25">
      <c r="I61" s="76"/>
    </row>
    <row r="62" spans="7:9" ht="15" hidden="1" customHeight="1" x14ac:dyDescent="0.25">
      <c r="I62" s="77"/>
    </row>
    <row r="63" spans="7:9" ht="15" hidden="1" customHeight="1" x14ac:dyDescent="0.25"/>
  </sheetData>
  <mergeCells count="22">
    <mergeCell ref="H25:H29"/>
    <mergeCell ref="J25:J29"/>
    <mergeCell ref="H30:H34"/>
    <mergeCell ref="J30:J34"/>
    <mergeCell ref="H9:K9"/>
    <mergeCell ref="H10:K11"/>
    <mergeCell ref="H13:H18"/>
    <mergeCell ref="J13:J18"/>
    <mergeCell ref="H19:H24"/>
    <mergeCell ref="J19:J24"/>
    <mergeCell ref="B37:D37"/>
    <mergeCell ref="B25:B29"/>
    <mergeCell ref="D25:D29"/>
    <mergeCell ref="B30:B34"/>
    <mergeCell ref="D30:D34"/>
    <mergeCell ref="B19:B24"/>
    <mergeCell ref="D19:D24"/>
    <mergeCell ref="B3:F3"/>
    <mergeCell ref="B10:E11"/>
    <mergeCell ref="B9:E9"/>
    <mergeCell ref="B13:B18"/>
    <mergeCell ref="D13:D18"/>
  </mergeCells>
  <hyperlinks>
    <hyperlink ref="B35" r:id="rId1" xr:uid="{2655D4D7-9DA5-4E65-AAFF-6417C42AB160}"/>
  </hyperlinks>
  <pageMargins left="0.511811024" right="0.511811024" top="0.78740157499999996" bottom="0.78740157499999996" header="0.31496062000000002" footer="0.31496062000000002"/>
  <pageSetup orientation="portrait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61791-335C-498A-A639-9C7F37F472CF}">
  <sheetPr>
    <tabColor theme="0" tint="-0.14999847407452621"/>
    <pageSetUpPr fitToPage="1"/>
  </sheetPr>
  <dimension ref="A1:N84"/>
  <sheetViews>
    <sheetView zoomScale="80" zoomScaleNormal="80" workbookViewId="0">
      <selection activeCell="H5" sqref="H5"/>
    </sheetView>
  </sheetViews>
  <sheetFormatPr defaultColWidth="0" defaultRowHeight="15" zeroHeight="1" outlineLevelRow="1" x14ac:dyDescent="0.25"/>
  <cols>
    <col min="1" max="1" width="2.28515625" style="21" customWidth="1"/>
    <col min="2" max="2" width="1.42578125" style="21" customWidth="1"/>
    <col min="3" max="3" width="2.140625" style="21" customWidth="1"/>
    <col min="4" max="4" width="78.85546875" style="21" customWidth="1"/>
    <col min="5" max="5" width="17.7109375" style="21" bestFit="1" customWidth="1"/>
    <col min="6" max="6" width="2.140625" style="21" customWidth="1"/>
    <col min="7" max="7" width="1.42578125" style="21" customWidth="1"/>
    <col min="8" max="8" width="13.5703125" style="21" bestFit="1" customWidth="1"/>
    <col min="9" max="9" width="18.7109375" style="21" customWidth="1"/>
    <col min="10" max="10" width="9.140625" style="21" customWidth="1"/>
    <col min="11" max="11" width="9.140625" style="21" hidden="1" customWidth="1"/>
    <col min="12" max="12" width="43.42578125" style="21" hidden="1" customWidth="1"/>
    <col min="13" max="13" width="15.28515625" style="21" hidden="1" customWidth="1"/>
    <col min="14" max="14" width="11.140625" style="21" hidden="1" customWidth="1"/>
    <col min="15" max="16384" width="9.140625" style="21" hidden="1"/>
  </cols>
  <sheetData>
    <row r="1" spans="2:9" ht="9" customHeight="1" x14ac:dyDescent="0.25"/>
    <row r="2" spans="2:9" ht="20.25" x14ac:dyDescent="0.3">
      <c r="B2" s="346"/>
      <c r="C2" s="30"/>
      <c r="D2" s="31" t="s">
        <v>273</v>
      </c>
      <c r="E2" s="30"/>
      <c r="F2" s="30"/>
      <c r="G2" s="30"/>
      <c r="H2" s="32"/>
      <c r="I2" s="32"/>
    </row>
    <row r="3" spans="2:9" ht="20.25" x14ac:dyDescent="0.3">
      <c r="B3" s="346"/>
      <c r="C3" s="30"/>
      <c r="D3" s="31" t="s">
        <v>274</v>
      </c>
      <c r="E3" s="30"/>
      <c r="F3" s="30"/>
      <c r="G3" s="30"/>
      <c r="H3" s="32"/>
      <c r="I3" s="32"/>
    </row>
    <row r="4" spans="2:9" ht="20.25" x14ac:dyDescent="0.3">
      <c r="B4" s="346"/>
      <c r="C4" s="30"/>
      <c r="D4" s="33" t="s">
        <v>275</v>
      </c>
      <c r="E4" s="30"/>
      <c r="F4" s="30"/>
      <c r="G4" s="30"/>
      <c r="H4" s="32"/>
      <c r="I4" s="32"/>
    </row>
    <row r="5" spans="2:9" ht="31.5" customHeight="1" x14ac:dyDescent="0.3">
      <c r="B5" s="346"/>
      <c r="C5" s="30"/>
      <c r="D5" s="34"/>
      <c r="E5" s="35"/>
      <c r="F5" s="30"/>
      <c r="G5" s="30"/>
      <c r="H5" s="36"/>
      <c r="I5" s="36"/>
    </row>
    <row r="6" spans="2:9" ht="15" customHeight="1" x14ac:dyDescent="0.3">
      <c r="C6" s="32"/>
      <c r="D6" s="37"/>
      <c r="E6" s="38"/>
      <c r="F6" s="32"/>
      <c r="H6" s="36"/>
      <c r="I6" s="36"/>
    </row>
    <row r="7" spans="2:9" ht="4.9000000000000004" customHeight="1" x14ac:dyDescent="0.25">
      <c r="B7" s="39"/>
      <c r="C7" s="40"/>
      <c r="D7" s="41"/>
      <c r="E7" s="41"/>
      <c r="F7" s="40"/>
      <c r="G7" s="42"/>
      <c r="H7" s="36"/>
      <c r="I7" s="36"/>
    </row>
    <row r="8" spans="2:9" x14ac:dyDescent="0.25">
      <c r="B8" s="43"/>
      <c r="C8" s="551" t="s">
        <v>275</v>
      </c>
      <c r="D8" s="551"/>
      <c r="E8" s="551"/>
      <c r="F8" s="551"/>
      <c r="G8" s="44"/>
      <c r="H8" s="36"/>
      <c r="I8" s="36"/>
    </row>
    <row r="9" spans="2:9" ht="7.9" customHeight="1" thickBot="1" x14ac:dyDescent="0.3">
      <c r="B9" s="43"/>
      <c r="D9" s="45"/>
      <c r="E9" s="46"/>
      <c r="G9" s="44"/>
      <c r="H9" s="45"/>
      <c r="I9" s="45"/>
    </row>
    <row r="10" spans="2:9" ht="9" customHeight="1" x14ac:dyDescent="0.25">
      <c r="B10" s="43"/>
      <c r="C10" s="47"/>
      <c r="D10" s="48"/>
      <c r="E10" s="48"/>
      <c r="F10" s="49"/>
      <c r="G10" s="44"/>
      <c r="H10" s="36"/>
      <c r="I10" s="36"/>
    </row>
    <row r="11" spans="2:9" outlineLevel="1" x14ac:dyDescent="0.25">
      <c r="B11" s="43"/>
      <c r="C11" s="50"/>
      <c r="D11" s="348" t="s">
        <v>276</v>
      </c>
      <c r="E11" s="347" t="s">
        <v>277</v>
      </c>
      <c r="F11" s="51"/>
      <c r="G11" s="44"/>
      <c r="H11" s="45"/>
      <c r="I11" s="45"/>
    </row>
    <row r="12" spans="2:9" ht="6" customHeight="1" outlineLevel="1" x14ac:dyDescent="0.25">
      <c r="B12" s="43"/>
      <c r="C12" s="50"/>
      <c r="D12" s="45"/>
      <c r="E12" s="45"/>
      <c r="F12" s="51"/>
      <c r="G12" s="44"/>
      <c r="H12" s="45"/>
      <c r="I12" s="45"/>
    </row>
    <row r="13" spans="2:9" outlineLevel="1" x14ac:dyDescent="0.25">
      <c r="B13" s="43"/>
      <c r="C13" s="50"/>
      <c r="D13" s="52" t="s">
        <v>278</v>
      </c>
      <c r="E13" s="53">
        <v>11126624.638</v>
      </c>
      <c r="F13" s="51"/>
      <c r="G13" s="44"/>
      <c r="H13" s="45"/>
      <c r="I13" s="45"/>
    </row>
    <row r="14" spans="2:9" outlineLevel="1" x14ac:dyDescent="0.25">
      <c r="B14" s="43"/>
      <c r="C14" s="50"/>
      <c r="D14" s="54" t="s">
        <v>279</v>
      </c>
      <c r="E14" s="53">
        <v>21139848.501000002</v>
      </c>
      <c r="F14" s="51"/>
      <c r="G14" s="44"/>
      <c r="H14" s="45"/>
      <c r="I14" s="45"/>
    </row>
    <row r="15" spans="2:9" outlineLevel="1" x14ac:dyDescent="0.25">
      <c r="B15" s="43"/>
      <c r="C15" s="50"/>
      <c r="D15" s="54" t="s">
        <v>280</v>
      </c>
      <c r="E15" s="53">
        <v>70331219.651457712</v>
      </c>
      <c r="F15" s="51"/>
      <c r="G15" s="44"/>
      <c r="H15" s="45"/>
      <c r="I15" s="45"/>
    </row>
    <row r="16" spans="2:9" outlineLevel="1" x14ac:dyDescent="0.25">
      <c r="B16" s="43"/>
      <c r="C16" s="50"/>
      <c r="D16" s="54" t="s">
        <v>281</v>
      </c>
      <c r="E16" s="53">
        <v>60000</v>
      </c>
      <c r="F16" s="51"/>
      <c r="G16" s="44"/>
      <c r="H16" s="45"/>
      <c r="I16" s="45"/>
    </row>
    <row r="17" spans="2:9" outlineLevel="1" x14ac:dyDescent="0.25">
      <c r="B17" s="43"/>
      <c r="C17" s="50"/>
      <c r="D17" s="54" t="s">
        <v>282</v>
      </c>
      <c r="E17" s="53">
        <v>10000000</v>
      </c>
      <c r="F17" s="51"/>
      <c r="G17" s="44"/>
      <c r="H17" s="45"/>
      <c r="I17" s="45"/>
    </row>
    <row r="18" spans="2:9" outlineLevel="1" x14ac:dyDescent="0.25">
      <c r="B18" s="43"/>
      <c r="C18" s="50"/>
      <c r="D18" s="54" t="s">
        <v>283</v>
      </c>
      <c r="E18" s="53">
        <v>6000000</v>
      </c>
      <c r="F18" s="51"/>
      <c r="G18" s="44"/>
      <c r="H18" s="45"/>
      <c r="I18" s="45"/>
    </row>
    <row r="19" spans="2:9" outlineLevel="1" x14ac:dyDescent="0.25">
      <c r="B19" s="43"/>
      <c r="C19" s="50"/>
      <c r="D19" s="54" t="s">
        <v>284</v>
      </c>
      <c r="E19" s="53">
        <v>4227969.7001999998</v>
      </c>
      <c r="F19" s="51"/>
      <c r="G19" s="44"/>
      <c r="H19" s="45"/>
      <c r="I19" s="45"/>
    </row>
    <row r="20" spans="2:9" ht="6" customHeight="1" outlineLevel="1" thickBot="1" x14ac:dyDescent="0.3">
      <c r="B20" s="43"/>
      <c r="C20" s="50"/>
      <c r="D20" s="45"/>
      <c r="E20" s="45"/>
      <c r="F20" s="51"/>
      <c r="G20" s="44"/>
      <c r="H20" s="45"/>
      <c r="I20" s="45"/>
    </row>
    <row r="21" spans="2:9" x14ac:dyDescent="0.25">
      <c r="B21" s="43"/>
      <c r="C21" s="50"/>
      <c r="D21" s="55" t="s">
        <v>285</v>
      </c>
      <c r="E21" s="56">
        <v>122885662.49065772</v>
      </c>
      <c r="F21" s="51"/>
      <c r="G21" s="44"/>
      <c r="H21" s="45"/>
      <c r="I21" s="145"/>
    </row>
    <row r="22" spans="2:9" ht="7.5" customHeight="1" x14ac:dyDescent="0.25">
      <c r="B22" s="43"/>
      <c r="C22" s="50"/>
      <c r="D22" s="45"/>
      <c r="E22" s="46"/>
      <c r="F22" s="51"/>
      <c r="G22" s="44"/>
      <c r="H22" s="45"/>
      <c r="I22" s="45"/>
    </row>
    <row r="23" spans="2:9" outlineLevel="1" x14ac:dyDescent="0.25">
      <c r="B23" s="43"/>
      <c r="C23" s="50"/>
      <c r="D23" s="348" t="s">
        <v>286</v>
      </c>
      <c r="E23" s="347" t="s">
        <v>277</v>
      </c>
      <c r="F23" s="51"/>
      <c r="G23" s="44"/>
      <c r="H23" s="45"/>
      <c r="I23" s="45"/>
    </row>
    <row r="24" spans="2:9" ht="6" customHeight="1" outlineLevel="1" x14ac:dyDescent="0.25">
      <c r="B24" s="43"/>
      <c r="C24" s="50"/>
      <c r="D24" s="45"/>
      <c r="E24" s="45"/>
      <c r="F24" s="51"/>
      <c r="G24" s="44"/>
      <c r="H24" s="45"/>
      <c r="I24" s="45"/>
    </row>
    <row r="25" spans="2:9" outlineLevel="1" x14ac:dyDescent="0.25">
      <c r="B25" s="43"/>
      <c r="C25" s="50"/>
      <c r="D25" s="57" t="s">
        <v>287</v>
      </c>
      <c r="E25" s="58">
        <v>1321714967.0231886</v>
      </c>
      <c r="F25" s="51"/>
      <c r="G25" s="44"/>
      <c r="H25" s="45"/>
      <c r="I25" s="145"/>
    </row>
    <row r="26" spans="2:9" outlineLevel="1" x14ac:dyDescent="0.25">
      <c r="B26" s="43"/>
      <c r="C26" s="50"/>
      <c r="D26" s="59" t="s">
        <v>288</v>
      </c>
      <c r="E26" s="53">
        <v>652383793.29318869</v>
      </c>
      <c r="F26" s="51"/>
      <c r="G26" s="44"/>
      <c r="H26" s="45"/>
      <c r="I26" s="146"/>
    </row>
    <row r="27" spans="2:9" outlineLevel="1" x14ac:dyDescent="0.25">
      <c r="B27" s="43"/>
      <c r="C27" s="50"/>
      <c r="D27" s="59" t="s">
        <v>289</v>
      </c>
      <c r="E27" s="53">
        <v>307622720.69</v>
      </c>
      <c r="F27" s="51"/>
      <c r="G27" s="44"/>
      <c r="H27" s="45"/>
      <c r="I27" s="146"/>
    </row>
    <row r="28" spans="2:9" outlineLevel="1" x14ac:dyDescent="0.25">
      <c r="B28" s="43"/>
      <c r="C28" s="50"/>
      <c r="D28" s="59" t="s">
        <v>290</v>
      </c>
      <c r="E28" s="53">
        <v>126277424.02000003</v>
      </c>
      <c r="F28" s="51"/>
      <c r="G28" s="44"/>
      <c r="H28" s="45"/>
      <c r="I28" s="45"/>
    </row>
    <row r="29" spans="2:9" outlineLevel="1" x14ac:dyDescent="0.25">
      <c r="B29" s="43"/>
      <c r="C29" s="50"/>
      <c r="D29" s="59" t="s">
        <v>291</v>
      </c>
      <c r="E29" s="53">
        <v>2363157.2100000004</v>
      </c>
      <c r="F29" s="51"/>
      <c r="G29" s="44"/>
      <c r="H29" s="45"/>
      <c r="I29" s="45"/>
    </row>
    <row r="30" spans="2:9" outlineLevel="1" x14ac:dyDescent="0.25">
      <c r="B30" s="43"/>
      <c r="C30" s="50"/>
      <c r="D30" s="59" t="s">
        <v>292</v>
      </c>
      <c r="E30" s="53">
        <v>24946623.739999998</v>
      </c>
      <c r="F30" s="51"/>
      <c r="G30" s="44"/>
      <c r="H30" s="45"/>
      <c r="I30" s="45"/>
    </row>
    <row r="31" spans="2:9" outlineLevel="1" x14ac:dyDescent="0.25">
      <c r="B31" s="43"/>
      <c r="C31" s="50"/>
      <c r="D31" s="59" t="s">
        <v>293</v>
      </c>
      <c r="E31" s="53">
        <v>79793.97</v>
      </c>
      <c r="F31" s="51"/>
      <c r="G31" s="44"/>
      <c r="H31" s="45"/>
      <c r="I31" s="45"/>
    </row>
    <row r="32" spans="2:9" outlineLevel="1" x14ac:dyDescent="0.25">
      <c r="B32" s="43"/>
      <c r="C32" s="50"/>
      <c r="D32" s="59" t="s">
        <v>294</v>
      </c>
      <c r="E32" s="53">
        <v>208041454.10000002</v>
      </c>
      <c r="F32" s="51"/>
      <c r="G32" s="44"/>
      <c r="H32" s="45"/>
      <c r="I32" s="45"/>
    </row>
    <row r="33" spans="2:9" ht="6" customHeight="1" outlineLevel="1" x14ac:dyDescent="0.25">
      <c r="B33" s="43"/>
      <c r="C33" s="50"/>
      <c r="D33" s="45"/>
      <c r="E33" s="45"/>
      <c r="F33" s="51"/>
      <c r="G33" s="44"/>
      <c r="H33" s="45"/>
      <c r="I33" s="45"/>
    </row>
    <row r="34" spans="2:9" outlineLevel="1" x14ac:dyDescent="0.25">
      <c r="B34" s="43"/>
      <c r="C34" s="50"/>
      <c r="D34" s="57" t="s">
        <v>295</v>
      </c>
      <c r="E34" s="58">
        <v>24680828.781878993</v>
      </c>
      <c r="F34" s="51"/>
      <c r="G34" s="44">
        <f>SUM(E27,E29,E30,E31,E34)</f>
        <v>359693124.39187902</v>
      </c>
      <c r="H34" s="345"/>
      <c r="I34" s="145"/>
    </row>
    <row r="35" spans="2:9" ht="6" customHeight="1" outlineLevel="1" x14ac:dyDescent="0.25">
      <c r="B35" s="43"/>
      <c r="C35" s="50"/>
      <c r="D35" s="45"/>
      <c r="E35" s="45"/>
      <c r="F35" s="51"/>
      <c r="G35" s="44"/>
      <c r="H35" s="45"/>
      <c r="I35" s="45"/>
    </row>
    <row r="36" spans="2:9" outlineLevel="1" x14ac:dyDescent="0.25">
      <c r="B36" s="43"/>
      <c r="C36" s="50"/>
      <c r="D36" s="57" t="s">
        <v>296</v>
      </c>
      <c r="E36" s="58">
        <v>667378494.50257242</v>
      </c>
      <c r="F36" s="51"/>
      <c r="G36" s="44"/>
      <c r="H36" s="146"/>
      <c r="I36" s="145"/>
    </row>
    <row r="37" spans="2:9" outlineLevel="1" x14ac:dyDescent="0.25">
      <c r="B37" s="43"/>
      <c r="C37" s="50"/>
      <c r="D37" s="59" t="s">
        <v>297</v>
      </c>
      <c r="E37" s="53">
        <v>469636801.04494244</v>
      </c>
      <c r="F37" s="51"/>
      <c r="G37" s="44"/>
      <c r="H37" s="45"/>
      <c r="I37" s="145"/>
    </row>
    <row r="38" spans="2:9" outlineLevel="1" x14ac:dyDescent="0.25">
      <c r="B38" s="43"/>
      <c r="C38" s="50"/>
      <c r="D38" s="59" t="s">
        <v>298</v>
      </c>
      <c r="E38" s="53">
        <v>196243873.88491178</v>
      </c>
      <c r="F38" s="51"/>
      <c r="G38" s="44"/>
      <c r="H38" s="45"/>
      <c r="I38" s="145"/>
    </row>
    <row r="39" spans="2:9" outlineLevel="1" x14ac:dyDescent="0.25">
      <c r="B39" s="43"/>
      <c r="C39" s="50"/>
      <c r="D39" s="59" t="s">
        <v>299</v>
      </c>
      <c r="E39" s="53">
        <v>1497819.5727182829</v>
      </c>
      <c r="F39" s="51"/>
      <c r="G39" s="44"/>
      <c r="H39" s="45"/>
      <c r="I39" s="145"/>
    </row>
    <row r="40" spans="2:9" ht="6" customHeight="1" outlineLevel="1" thickBot="1" x14ac:dyDescent="0.3">
      <c r="B40" s="43"/>
      <c r="C40" s="50"/>
      <c r="D40" s="45"/>
      <c r="E40" s="45"/>
      <c r="F40" s="51"/>
      <c r="G40" s="44"/>
      <c r="H40" s="45"/>
      <c r="I40" s="45"/>
    </row>
    <row r="41" spans="2:9" x14ac:dyDescent="0.25">
      <c r="B41" s="43"/>
      <c r="C41" s="50"/>
      <c r="D41" s="55" t="s">
        <v>300</v>
      </c>
      <c r="E41" s="56">
        <v>2013774290.3076401</v>
      </c>
      <c r="F41" s="51"/>
      <c r="G41" s="44"/>
      <c r="H41" s="345"/>
      <c r="I41" s="146"/>
    </row>
    <row r="42" spans="2:9" ht="7.5" customHeight="1" x14ac:dyDescent="0.25">
      <c r="B42" s="43"/>
      <c r="C42" s="50"/>
      <c r="D42" s="60"/>
      <c r="E42" s="58"/>
      <c r="F42" s="51"/>
      <c r="G42" s="44"/>
      <c r="H42" s="45"/>
      <c r="I42" s="45"/>
    </row>
    <row r="43" spans="2:9" x14ac:dyDescent="0.25">
      <c r="B43" s="43"/>
      <c r="C43" s="50"/>
      <c r="D43" s="348" t="s">
        <v>301</v>
      </c>
      <c r="E43" s="347" t="s">
        <v>277</v>
      </c>
      <c r="F43" s="51"/>
      <c r="G43" s="44"/>
      <c r="H43" s="45"/>
      <c r="I43" s="146"/>
    </row>
    <row r="44" spans="2:9" ht="6" customHeight="1" x14ac:dyDescent="0.25">
      <c r="B44" s="43"/>
      <c r="C44" s="50"/>
      <c r="D44" s="60"/>
      <c r="E44" s="58"/>
      <c r="F44" s="51"/>
      <c r="G44" s="44"/>
      <c r="H44" s="45"/>
      <c r="I44" s="45"/>
    </row>
    <row r="45" spans="2:9" outlineLevel="1" x14ac:dyDescent="0.25">
      <c r="B45" s="43"/>
      <c r="C45" s="50"/>
      <c r="D45" s="59" t="s">
        <v>302</v>
      </c>
      <c r="E45" s="53">
        <v>-22136598.00417316</v>
      </c>
      <c r="F45" s="51"/>
      <c r="G45" s="44"/>
      <c r="H45" s="45"/>
      <c r="I45" s="145"/>
    </row>
    <row r="46" spans="2:9" outlineLevel="1" x14ac:dyDescent="0.25">
      <c r="B46" s="43"/>
      <c r="C46" s="50"/>
      <c r="D46" s="59" t="s">
        <v>303</v>
      </c>
      <c r="E46" s="53">
        <v>-18385648.341008298</v>
      </c>
      <c r="F46" s="51"/>
      <c r="G46" s="44"/>
      <c r="H46" s="45"/>
      <c r="I46" s="145"/>
    </row>
    <row r="47" spans="2:9" outlineLevel="1" x14ac:dyDescent="0.25">
      <c r="B47" s="43"/>
      <c r="C47" s="50"/>
      <c r="D47" s="59" t="s">
        <v>304</v>
      </c>
      <c r="E47" s="53">
        <v>-7423367.7599999988</v>
      </c>
      <c r="F47" s="51"/>
      <c r="G47" s="44"/>
      <c r="H47" s="45"/>
      <c r="I47" s="145"/>
    </row>
    <row r="48" spans="2:9" outlineLevel="1" x14ac:dyDescent="0.25">
      <c r="B48" s="43"/>
      <c r="C48" s="50"/>
      <c r="D48" s="59" t="s">
        <v>305</v>
      </c>
      <c r="E48" s="53">
        <v>-3823401</v>
      </c>
      <c r="F48" s="51"/>
      <c r="G48" s="44"/>
      <c r="H48" s="45"/>
      <c r="I48" s="145"/>
    </row>
    <row r="49" spans="2:14" outlineLevel="1" x14ac:dyDescent="0.25">
      <c r="B49" s="43"/>
      <c r="C49" s="50"/>
      <c r="D49" s="59" t="s">
        <v>306</v>
      </c>
      <c r="E49" s="53">
        <v>-50972.44</v>
      </c>
      <c r="F49" s="51"/>
      <c r="G49" s="44"/>
      <c r="H49" s="45"/>
      <c r="I49" s="145"/>
    </row>
    <row r="50" spans="2:14" outlineLevel="1" x14ac:dyDescent="0.25">
      <c r="B50" s="43"/>
      <c r="C50" s="50"/>
      <c r="D50" s="59" t="s">
        <v>307</v>
      </c>
      <c r="E50" s="53">
        <v>-84341.820000000065</v>
      </c>
      <c r="F50" s="51"/>
      <c r="G50" s="44"/>
      <c r="H50" s="45"/>
      <c r="I50" s="145"/>
      <c r="L50" s="344"/>
      <c r="M50" s="343"/>
      <c r="N50" s="342"/>
    </row>
    <row r="51" spans="2:14" outlineLevel="1" x14ac:dyDescent="0.25">
      <c r="B51" s="43"/>
      <c r="C51" s="50"/>
      <c r="D51" s="59" t="s">
        <v>281</v>
      </c>
      <c r="E51" s="53">
        <v>-211094</v>
      </c>
      <c r="F51" s="51"/>
      <c r="G51" s="44"/>
      <c r="H51" s="45"/>
      <c r="I51" s="145"/>
      <c r="L51" s="341"/>
      <c r="M51" s="103"/>
      <c r="N51" s="342"/>
    </row>
    <row r="52" spans="2:14" outlineLevel="1" x14ac:dyDescent="0.25">
      <c r="B52" s="43"/>
      <c r="C52" s="50"/>
      <c r="D52" s="59" t="s">
        <v>308</v>
      </c>
      <c r="E52" s="53">
        <v>-293541917.92658752</v>
      </c>
      <c r="F52" s="51"/>
      <c r="G52" s="44"/>
      <c r="H52" s="45"/>
      <c r="I52" s="145"/>
      <c r="L52" s="341"/>
      <c r="M52" s="103"/>
      <c r="N52" s="342"/>
    </row>
    <row r="53" spans="2:14" outlineLevel="1" x14ac:dyDescent="0.25">
      <c r="B53" s="43"/>
      <c r="C53" s="50"/>
      <c r="D53" s="59" t="s">
        <v>309</v>
      </c>
      <c r="E53" s="53">
        <v>219885870.23324516</v>
      </c>
      <c r="F53" s="51"/>
      <c r="G53" s="44"/>
      <c r="H53" s="45"/>
      <c r="I53" s="145"/>
      <c r="L53" s="341"/>
      <c r="M53" s="103"/>
      <c r="N53" s="333"/>
    </row>
    <row r="54" spans="2:14" outlineLevel="1" x14ac:dyDescent="0.25">
      <c r="B54" s="43"/>
      <c r="C54" s="50"/>
      <c r="D54" s="59" t="s">
        <v>310</v>
      </c>
      <c r="E54" s="53">
        <v>26935002.018225964</v>
      </c>
      <c r="F54" s="51"/>
      <c r="G54" s="44"/>
      <c r="H54" s="45"/>
      <c r="I54" s="145"/>
    </row>
    <row r="55" spans="2:14" outlineLevel="1" x14ac:dyDescent="0.25">
      <c r="B55" s="43"/>
      <c r="C55" s="50"/>
      <c r="D55" s="59" t="s">
        <v>311</v>
      </c>
      <c r="E55" s="53">
        <v>1515388.7250000001</v>
      </c>
      <c r="F55" s="51"/>
      <c r="G55" s="44"/>
      <c r="H55" s="45"/>
      <c r="I55" s="145"/>
    </row>
    <row r="56" spans="2:14" outlineLevel="1" x14ac:dyDescent="0.25">
      <c r="B56" s="43"/>
      <c r="C56" s="50"/>
      <c r="D56" s="59" t="s">
        <v>312</v>
      </c>
      <c r="E56" s="53">
        <v>1585000</v>
      </c>
      <c r="F56" s="51"/>
      <c r="G56" s="44"/>
      <c r="H56" s="45"/>
      <c r="I56" s="145"/>
    </row>
    <row r="57" spans="2:14" ht="6" customHeight="1" outlineLevel="1" thickBot="1" x14ac:dyDescent="0.3">
      <c r="B57" s="43"/>
      <c r="C57" s="50"/>
      <c r="D57" s="45"/>
      <c r="E57" s="46"/>
      <c r="F57" s="51"/>
      <c r="G57" s="44"/>
      <c r="H57" s="45"/>
      <c r="I57" s="45"/>
    </row>
    <row r="58" spans="2:14" ht="15" customHeight="1" x14ac:dyDescent="0.25">
      <c r="B58" s="43"/>
      <c r="C58" s="50"/>
      <c r="D58" s="55" t="s">
        <v>313</v>
      </c>
      <c r="E58" s="56">
        <v>-95736080.315297842</v>
      </c>
      <c r="F58" s="51"/>
      <c r="G58" s="44"/>
      <c r="H58" s="45"/>
      <c r="I58" s="45"/>
    </row>
    <row r="59" spans="2:14" ht="7.5" customHeight="1" thickBot="1" x14ac:dyDescent="0.3">
      <c r="B59" s="43"/>
      <c r="C59" s="50"/>
      <c r="D59" s="349"/>
      <c r="E59" s="350"/>
      <c r="F59" s="51"/>
      <c r="G59" s="44"/>
      <c r="H59" s="45"/>
      <c r="I59" s="45"/>
    </row>
    <row r="60" spans="2:14" x14ac:dyDescent="0.25">
      <c r="B60" s="43"/>
      <c r="C60" s="50"/>
      <c r="D60" s="351" t="s">
        <v>275</v>
      </c>
      <c r="E60" s="352" t="s">
        <v>277</v>
      </c>
      <c r="F60" s="51"/>
      <c r="G60" s="44"/>
      <c r="H60" s="45"/>
      <c r="I60" s="45"/>
    </row>
    <row r="61" spans="2:14" ht="6" customHeight="1" x14ac:dyDescent="0.25">
      <c r="B61" s="43"/>
      <c r="C61" s="50"/>
      <c r="D61" s="45"/>
      <c r="E61" s="46"/>
      <c r="F61" s="51"/>
      <c r="G61" s="44"/>
      <c r="H61" s="45"/>
      <c r="I61" s="45"/>
    </row>
    <row r="62" spans="2:14" x14ac:dyDescent="0.25">
      <c r="B62" s="43"/>
      <c r="C62" s="50"/>
      <c r="D62" s="52" t="s">
        <v>314</v>
      </c>
      <c r="E62" s="53">
        <v>2040923872.483</v>
      </c>
      <c r="F62" s="51"/>
      <c r="G62" s="44"/>
      <c r="H62" s="45"/>
      <c r="I62" s="45"/>
      <c r="J62" s="45"/>
    </row>
    <row r="63" spans="2:14" ht="6" customHeight="1" x14ac:dyDescent="0.25">
      <c r="B63" s="43"/>
      <c r="C63" s="50"/>
      <c r="D63" s="45"/>
      <c r="E63" s="46"/>
      <c r="F63" s="51"/>
      <c r="G63" s="44"/>
      <c r="H63" s="45"/>
      <c r="I63" s="45"/>
    </row>
    <row r="64" spans="2:14" x14ac:dyDescent="0.25">
      <c r="B64" s="43"/>
      <c r="C64" s="50"/>
      <c r="D64" s="54" t="s">
        <v>315</v>
      </c>
      <c r="E64" s="53">
        <v>-15533374.565128157</v>
      </c>
      <c r="F64" s="51"/>
      <c r="G64" s="44"/>
      <c r="H64" s="45"/>
      <c r="I64" s="45"/>
    </row>
    <row r="65" spans="2:11" ht="6" customHeight="1" x14ac:dyDescent="0.25">
      <c r="B65" s="43"/>
      <c r="C65" s="50"/>
      <c r="D65" s="45"/>
      <c r="E65" s="46"/>
      <c r="F65" s="51"/>
      <c r="G65" s="44"/>
      <c r="H65" s="45"/>
      <c r="I65" s="45"/>
    </row>
    <row r="66" spans="2:11" x14ac:dyDescent="0.25">
      <c r="B66" s="43"/>
      <c r="C66" s="50"/>
      <c r="D66" s="52" t="s">
        <v>316</v>
      </c>
      <c r="E66" s="53">
        <v>2025390497.917872</v>
      </c>
      <c r="F66" s="51"/>
      <c r="G66" s="44"/>
      <c r="H66" s="45"/>
      <c r="I66" s="45"/>
    </row>
    <row r="67" spans="2:11" ht="6" customHeight="1" x14ac:dyDescent="0.25">
      <c r="B67" s="43"/>
      <c r="C67" s="50"/>
      <c r="D67" s="45"/>
      <c r="E67" s="46"/>
      <c r="F67" s="51"/>
      <c r="G67" s="44"/>
      <c r="H67" s="45"/>
      <c r="I67" s="45"/>
    </row>
    <row r="68" spans="2:11" ht="6" customHeight="1" x14ac:dyDescent="0.25">
      <c r="B68" s="43"/>
      <c r="C68" s="50"/>
      <c r="D68" s="45"/>
      <c r="E68" s="46"/>
      <c r="F68" s="51"/>
      <c r="G68" s="44"/>
      <c r="H68" s="45"/>
      <c r="I68" s="45"/>
    </row>
    <row r="69" spans="2:11" x14ac:dyDescent="0.25">
      <c r="B69" s="43"/>
      <c r="C69" s="50"/>
      <c r="D69" s="52" t="s">
        <v>317</v>
      </c>
      <c r="E69" s="53">
        <v>1935227414.5264895</v>
      </c>
      <c r="F69" s="51"/>
      <c r="G69" s="44"/>
      <c r="H69" s="45"/>
      <c r="I69" s="45"/>
    </row>
    <row r="70" spans="2:11" ht="7.5" customHeight="1" x14ac:dyDescent="0.25">
      <c r="B70" s="43"/>
      <c r="C70" s="50"/>
      <c r="D70" s="52"/>
      <c r="E70" s="46"/>
      <c r="F70" s="51"/>
      <c r="G70" s="44"/>
      <c r="H70" s="45"/>
      <c r="I70" s="340"/>
    </row>
    <row r="71" spans="2:11" ht="15.75" thickBot="1" x14ac:dyDescent="0.3">
      <c r="B71" s="43"/>
      <c r="C71" s="50"/>
      <c r="D71" s="339" t="s">
        <v>318</v>
      </c>
      <c r="E71" s="338">
        <v>4.6590433100826889E-2</v>
      </c>
      <c r="F71" s="51"/>
      <c r="G71" s="44"/>
      <c r="H71" s="337"/>
      <c r="I71" s="336"/>
      <c r="K71" s="333"/>
    </row>
    <row r="72" spans="2:11" ht="9" customHeight="1" thickBot="1" x14ac:dyDescent="0.3">
      <c r="B72" s="43"/>
      <c r="C72" s="61"/>
      <c r="D72" s="62"/>
      <c r="E72" s="62"/>
      <c r="F72" s="63"/>
      <c r="G72" s="44"/>
      <c r="H72" s="36"/>
      <c r="I72" s="36"/>
    </row>
    <row r="73" spans="2:11" ht="4.9000000000000004" customHeight="1" x14ac:dyDescent="0.25">
      <c r="B73" s="64"/>
      <c r="C73" s="65"/>
      <c r="D73" s="66"/>
      <c r="E73" s="66"/>
      <c r="F73" s="65"/>
      <c r="G73" s="67"/>
    </row>
    <row r="74" spans="2:11" x14ac:dyDescent="0.25">
      <c r="E74" s="333"/>
    </row>
    <row r="75" spans="2:11" x14ac:dyDescent="0.25">
      <c r="D75" s="335"/>
      <c r="E75" s="334"/>
    </row>
    <row r="76" spans="2:11" x14ac:dyDescent="0.25">
      <c r="E76" s="333"/>
    </row>
    <row r="77" spans="2:11" x14ac:dyDescent="0.25">
      <c r="E77" s="333"/>
    </row>
    <row r="78" spans="2:11" x14ac:dyDescent="0.25"/>
    <row r="79" spans="2:11" x14ac:dyDescent="0.25"/>
    <row r="80" spans="2:11" x14ac:dyDescent="0.25"/>
    <row r="81" x14ac:dyDescent="0.25"/>
    <row r="82" x14ac:dyDescent="0.25"/>
    <row r="83" x14ac:dyDescent="0.25"/>
    <row r="84" x14ac:dyDescent="0.25"/>
  </sheetData>
  <mergeCells count="1">
    <mergeCell ref="C8:F8"/>
  </mergeCells>
  <pageMargins left="0.511811024" right="0.511811024" top="0.78740157499999996" bottom="0.78740157499999996" header="0.31496062000000002" footer="0.31496062000000002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B50F7-CFE2-4D1B-99AA-69EE3C0750B0}">
  <sheetPr>
    <tabColor theme="3" tint="0.79998168889431442"/>
  </sheetPr>
  <dimension ref="A1:AC35"/>
  <sheetViews>
    <sheetView showGridLines="0" zoomScaleNormal="100" workbookViewId="0">
      <selection activeCell="X9" sqref="X9"/>
    </sheetView>
  </sheetViews>
  <sheetFormatPr defaultColWidth="0" defaultRowHeight="15" zeroHeight="1" x14ac:dyDescent="0.25"/>
  <cols>
    <col min="1" max="12" width="9.140625" customWidth="1"/>
    <col min="13" max="13" width="6.7109375" customWidth="1"/>
    <col min="14" max="24" width="9.140625" customWidth="1"/>
    <col min="25" max="25" width="4" customWidth="1"/>
    <col min="26" max="28" width="9.140625" customWidth="1"/>
    <col min="29" max="29" width="10.7109375" customWidth="1"/>
    <col min="30" max="16384" width="9.140625" hidden="1"/>
  </cols>
  <sheetData>
    <row r="1" spans="6:19" s="21" customFormat="1" ht="5.0999999999999996" customHeight="1" x14ac:dyDescent="0.25"/>
    <row r="2" spans="6:19" s="21" customFormat="1" x14ac:dyDescent="0.25"/>
    <row r="3" spans="6:19" s="83" customFormat="1" x14ac:dyDescent="0.25"/>
    <row r="4" spans="6:19" s="83" customFormat="1" x14ac:dyDescent="0.25"/>
    <row r="5" spans="6:19" s="83" customFormat="1" ht="20.100000000000001" customHeight="1" x14ac:dyDescent="0.25"/>
    <row r="6" spans="6:19" x14ac:dyDescent="0.25"/>
    <row r="7" spans="6:19" x14ac:dyDescent="0.25"/>
    <row r="8" spans="6:19" x14ac:dyDescent="0.25"/>
    <row r="9" spans="6:19" x14ac:dyDescent="0.25"/>
    <row r="10" spans="6:19" x14ac:dyDescent="0.25"/>
    <row r="11" spans="6:19" ht="15.75" x14ac:dyDescent="0.25">
      <c r="F11" s="481" t="s">
        <v>0</v>
      </c>
      <c r="G11" s="482"/>
      <c r="H11" s="482"/>
      <c r="I11" s="482"/>
      <c r="J11" s="482"/>
      <c r="K11" s="482"/>
      <c r="L11" s="482"/>
      <c r="M11" s="482"/>
      <c r="N11" s="481" t="s">
        <v>1</v>
      </c>
      <c r="O11" s="482"/>
      <c r="P11" s="482"/>
      <c r="Q11" s="100"/>
      <c r="S11" s="99"/>
    </row>
    <row r="12" spans="6:19" ht="18" customHeight="1" x14ac:dyDescent="0.25">
      <c r="F12" s="479" t="s">
        <v>2</v>
      </c>
      <c r="G12" s="479"/>
      <c r="H12" s="479"/>
      <c r="I12" s="479"/>
      <c r="J12" s="479"/>
      <c r="K12" s="479"/>
      <c r="L12" s="479"/>
      <c r="M12" s="479"/>
      <c r="N12" s="480" t="s">
        <v>3</v>
      </c>
      <c r="O12" s="480"/>
      <c r="P12" s="480"/>
      <c r="Q12" s="100"/>
    </row>
    <row r="13" spans="6:19" ht="18" customHeight="1" x14ac:dyDescent="0.25">
      <c r="F13" s="479" t="s">
        <v>4</v>
      </c>
      <c r="G13" s="479"/>
      <c r="H13" s="479"/>
      <c r="I13" s="479"/>
      <c r="J13" s="479"/>
      <c r="K13" s="479"/>
      <c r="L13" s="479"/>
      <c r="M13" s="479"/>
      <c r="N13" s="480" t="s">
        <v>5</v>
      </c>
      <c r="O13" s="480"/>
      <c r="P13" s="480"/>
      <c r="Q13" s="100"/>
    </row>
    <row r="14" spans="6:19" ht="18" customHeight="1" x14ac:dyDescent="0.25">
      <c r="F14" s="479" t="s">
        <v>6</v>
      </c>
      <c r="G14" s="479"/>
      <c r="H14" s="479"/>
      <c r="I14" s="479"/>
      <c r="J14" s="479"/>
      <c r="K14" s="479"/>
      <c r="L14" s="479"/>
      <c r="M14" s="479"/>
      <c r="N14" s="480" t="s">
        <v>7</v>
      </c>
      <c r="O14" s="480"/>
      <c r="P14" s="480"/>
      <c r="Q14" s="100"/>
    </row>
    <row r="15" spans="6:19" ht="18" customHeight="1" x14ac:dyDescent="0.25">
      <c r="F15" s="479" t="s">
        <v>8</v>
      </c>
      <c r="G15" s="479"/>
      <c r="H15" s="479"/>
      <c r="I15" s="479"/>
      <c r="J15" s="479"/>
      <c r="K15" s="479"/>
      <c r="L15" s="479"/>
      <c r="M15" s="479"/>
      <c r="N15" s="480" t="s">
        <v>3</v>
      </c>
      <c r="O15" s="480"/>
      <c r="P15" s="480"/>
      <c r="Q15" s="100"/>
    </row>
    <row r="16" spans="6:19" ht="18" customHeight="1" x14ac:dyDescent="0.25">
      <c r="F16" s="479" t="s">
        <v>9</v>
      </c>
      <c r="G16" s="479"/>
      <c r="H16" s="479"/>
      <c r="I16" s="479"/>
      <c r="J16" s="479"/>
      <c r="K16" s="479"/>
      <c r="L16" s="479"/>
      <c r="M16" s="479"/>
      <c r="N16" s="480" t="s">
        <v>10</v>
      </c>
      <c r="O16" s="480"/>
      <c r="P16" s="480"/>
      <c r="Q16" s="100"/>
    </row>
    <row r="17" spans="6:17" ht="18" customHeight="1" x14ac:dyDescent="0.25">
      <c r="F17" s="479" t="s">
        <v>11</v>
      </c>
      <c r="G17" s="479"/>
      <c r="H17" s="479"/>
      <c r="I17" s="479"/>
      <c r="J17" s="479"/>
      <c r="K17" s="479"/>
      <c r="L17" s="479"/>
      <c r="M17" s="479"/>
      <c r="N17" s="480" t="s">
        <v>10</v>
      </c>
      <c r="O17" s="480"/>
      <c r="P17" s="480"/>
      <c r="Q17" s="100"/>
    </row>
    <row r="18" spans="6:17" ht="18" customHeight="1" x14ac:dyDescent="0.25">
      <c r="F18" s="479" t="s">
        <v>12</v>
      </c>
      <c r="G18" s="479"/>
      <c r="H18" s="479"/>
      <c r="I18" s="479"/>
      <c r="J18" s="479"/>
      <c r="K18" s="479"/>
      <c r="L18" s="479"/>
      <c r="M18" s="479"/>
      <c r="N18" s="480" t="s">
        <v>13</v>
      </c>
      <c r="O18" s="480"/>
      <c r="P18" s="480"/>
      <c r="Q18" s="100"/>
    </row>
    <row r="19" spans="6:17" ht="18" customHeight="1" x14ac:dyDescent="0.25">
      <c r="F19" s="479" t="s">
        <v>14</v>
      </c>
      <c r="G19" s="479"/>
      <c r="H19" s="479"/>
      <c r="I19" s="479"/>
      <c r="J19" s="479"/>
      <c r="K19" s="479"/>
      <c r="L19" s="479"/>
      <c r="M19" s="479"/>
      <c r="N19" s="480" t="s">
        <v>10</v>
      </c>
      <c r="O19" s="480"/>
      <c r="P19" s="480"/>
    </row>
    <row r="20" spans="6:17" x14ac:dyDescent="0.25"/>
    <row r="21" spans="6:17" x14ac:dyDescent="0.25"/>
    <row r="22" spans="6:17" x14ac:dyDescent="0.25"/>
    <row r="23" spans="6:17" x14ac:dyDescent="0.25"/>
    <row r="24" spans="6:17" x14ac:dyDescent="0.25"/>
    <row r="25" spans="6:17" x14ac:dyDescent="0.25"/>
    <row r="26" spans="6:17" x14ac:dyDescent="0.25"/>
    <row r="27" spans="6:17" x14ac:dyDescent="0.25"/>
    <row r="28" spans="6:17" x14ac:dyDescent="0.25"/>
    <row r="29" spans="6:17" x14ac:dyDescent="0.25"/>
    <row r="30" spans="6:17" x14ac:dyDescent="0.25"/>
    <row r="31" spans="6:17" x14ac:dyDescent="0.25"/>
    <row r="32" spans="6:17" x14ac:dyDescent="0.25"/>
    <row r="33" x14ac:dyDescent="0.25"/>
    <row r="34" x14ac:dyDescent="0.25"/>
    <row r="35" x14ac:dyDescent="0.25"/>
  </sheetData>
  <mergeCells count="18">
    <mergeCell ref="N11:P11"/>
    <mergeCell ref="F11:M11"/>
    <mergeCell ref="F15:M15"/>
    <mergeCell ref="F16:M16"/>
    <mergeCell ref="F17:M17"/>
    <mergeCell ref="N12:P12"/>
    <mergeCell ref="N13:P13"/>
    <mergeCell ref="N14:P14"/>
    <mergeCell ref="N15:P15"/>
    <mergeCell ref="F12:M12"/>
    <mergeCell ref="F13:M13"/>
    <mergeCell ref="F14:M14"/>
    <mergeCell ref="F18:M18"/>
    <mergeCell ref="F19:M19"/>
    <mergeCell ref="N18:P18"/>
    <mergeCell ref="N19:P19"/>
    <mergeCell ref="N16:P16"/>
    <mergeCell ref="N17:P1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A5CCA-3F63-4FF9-8DDB-E12298265160}">
  <sheetPr>
    <tabColor theme="3" tint="0.79998168889431442"/>
  </sheetPr>
  <dimension ref="A1:T53"/>
  <sheetViews>
    <sheetView showGridLines="0" zoomScale="110" zoomScaleNormal="110" workbookViewId="0">
      <selection activeCell="A54" sqref="A54:XFD1048576"/>
    </sheetView>
  </sheetViews>
  <sheetFormatPr defaultColWidth="0" defaultRowHeight="15" zeroHeight="1" x14ac:dyDescent="0.25"/>
  <cols>
    <col min="1" max="1" width="6.5703125" customWidth="1"/>
    <col min="2" max="2" width="12" customWidth="1"/>
    <col min="3" max="3" width="15.28515625" bestFit="1" customWidth="1"/>
    <col min="4" max="4" width="15" customWidth="1"/>
    <col min="5" max="5" width="13.5703125" customWidth="1"/>
    <col min="6" max="6" width="17.85546875" customWidth="1"/>
    <col min="7" max="7" width="15" customWidth="1"/>
    <col min="8" max="8" width="16.28515625" customWidth="1"/>
    <col min="9" max="9" width="14.28515625" bestFit="1" customWidth="1"/>
    <col min="10" max="10" width="16.85546875" bestFit="1" customWidth="1"/>
    <col min="11" max="12" width="12.7109375" customWidth="1"/>
    <col min="13" max="13" width="17.140625" customWidth="1"/>
    <col min="14" max="14" width="16.42578125" bestFit="1" customWidth="1"/>
    <col min="15" max="15" width="12.7109375" customWidth="1"/>
    <col min="16" max="16" width="12.7109375" bestFit="1" customWidth="1"/>
    <col min="17" max="17" width="15.7109375" bestFit="1" customWidth="1"/>
    <col min="18" max="18" width="16.85546875" bestFit="1" customWidth="1"/>
    <col min="19" max="19" width="13.7109375" customWidth="1"/>
    <col min="20" max="20" width="9.85546875" customWidth="1"/>
    <col min="21" max="16384" width="13.7109375" hidden="1"/>
  </cols>
  <sheetData>
    <row r="1" spans="2:9" s="21" customFormat="1" ht="3" customHeight="1" x14ac:dyDescent="0.25"/>
    <row r="2" spans="2:9" s="21" customFormat="1" x14ac:dyDescent="0.25"/>
    <row r="3" spans="2:9" s="83" customFormat="1" x14ac:dyDescent="0.25"/>
    <row r="4" spans="2:9" s="83" customFormat="1" x14ac:dyDescent="0.25"/>
    <row r="5" spans="2:9" s="83" customFormat="1" ht="20.100000000000001" customHeight="1" x14ac:dyDescent="0.25"/>
    <row r="6" spans="2:9" s="21" customFormat="1" ht="6.75" customHeight="1" x14ac:dyDescent="0.25"/>
    <row r="7" spans="2:9" x14ac:dyDescent="0.25"/>
    <row r="8" spans="2:9" x14ac:dyDescent="0.25">
      <c r="B8" s="482" t="s">
        <v>15</v>
      </c>
      <c r="C8" s="482"/>
      <c r="D8" s="482"/>
      <c r="E8" s="482"/>
      <c r="F8" s="482"/>
      <c r="G8" s="482"/>
      <c r="H8" s="96"/>
      <c r="I8" s="29"/>
    </row>
    <row r="9" spans="2:9" ht="15" customHeight="1" x14ac:dyDescent="0.25">
      <c r="B9" s="492" t="s">
        <v>16</v>
      </c>
      <c r="C9" s="492"/>
      <c r="D9" s="492"/>
      <c r="E9" s="220" t="s">
        <v>17</v>
      </c>
      <c r="F9" s="220" t="s">
        <v>18</v>
      </c>
      <c r="G9" s="220" t="s">
        <v>19</v>
      </c>
      <c r="H9" s="97"/>
      <c r="I9" s="29"/>
    </row>
    <row r="10" spans="2:9" x14ac:dyDescent="0.25">
      <c r="B10" s="486">
        <v>45261</v>
      </c>
      <c r="C10" s="486"/>
      <c r="D10" s="486"/>
      <c r="E10" s="327">
        <v>6954.74</v>
      </c>
      <c r="F10" s="327">
        <v>6773.27</v>
      </c>
      <c r="G10" s="327">
        <v>1124.0719999999999</v>
      </c>
      <c r="H10" s="98"/>
      <c r="I10" s="84"/>
    </row>
    <row r="11" spans="2:9" x14ac:dyDescent="0.25">
      <c r="B11" s="486">
        <f t="shared" ref="B11:B22" si="0">+B10+31</f>
        <v>45292</v>
      </c>
      <c r="C11" s="486"/>
      <c r="D11" s="486"/>
      <c r="E11" s="327">
        <v>6994.38</v>
      </c>
      <c r="F11" s="327">
        <v>6801.72</v>
      </c>
      <c r="G11" s="327">
        <v>1124.8789999999999</v>
      </c>
      <c r="H11" s="98"/>
      <c r="I11" s="85"/>
    </row>
    <row r="12" spans="2:9" x14ac:dyDescent="0.25">
      <c r="B12" s="486">
        <f t="shared" si="0"/>
        <v>45323</v>
      </c>
      <c r="C12" s="486"/>
      <c r="D12" s="486"/>
      <c r="E12" s="327">
        <v>7051.03</v>
      </c>
      <c r="F12" s="327">
        <v>6858.17</v>
      </c>
      <c r="G12" s="327">
        <v>1119.0609999999999</v>
      </c>
      <c r="H12" s="98"/>
      <c r="I12" s="85"/>
    </row>
    <row r="13" spans="2:9" x14ac:dyDescent="0.25">
      <c r="B13" s="486">
        <f t="shared" si="0"/>
        <v>45354</v>
      </c>
      <c r="C13" s="486"/>
      <c r="D13" s="486"/>
      <c r="E13" s="327">
        <v>7064.43</v>
      </c>
      <c r="F13" s="327">
        <v>6869.14</v>
      </c>
      <c r="G13" s="327">
        <v>1113.837</v>
      </c>
      <c r="H13" s="98"/>
      <c r="I13" s="85"/>
    </row>
    <row r="14" spans="2:9" x14ac:dyDescent="0.25">
      <c r="B14" s="486">
        <f t="shared" si="0"/>
        <v>45385</v>
      </c>
      <c r="C14" s="486"/>
      <c r="D14" s="486"/>
      <c r="E14" s="327">
        <v>7090.57</v>
      </c>
      <c r="F14" s="327">
        <v>6895.24</v>
      </c>
      <c r="G14" s="327">
        <v>1117.28</v>
      </c>
      <c r="H14" s="98"/>
      <c r="I14" s="85"/>
    </row>
    <row r="15" spans="2:9" x14ac:dyDescent="0.25">
      <c r="B15" s="486">
        <f t="shared" si="0"/>
        <v>45416</v>
      </c>
      <c r="C15" s="486"/>
      <c r="D15" s="486"/>
      <c r="E15" s="327">
        <v>7123.19</v>
      </c>
      <c r="F15" s="327">
        <v>6926.96</v>
      </c>
      <c r="G15" s="327">
        <v>1127.2329999999999</v>
      </c>
      <c r="H15" s="98"/>
      <c r="I15" s="85"/>
    </row>
    <row r="16" spans="2:9" x14ac:dyDescent="0.25">
      <c r="B16" s="486">
        <f t="shared" si="0"/>
        <v>45447</v>
      </c>
      <c r="C16" s="486"/>
      <c r="D16" s="486"/>
      <c r="E16" s="327">
        <v>7141</v>
      </c>
      <c r="F16" s="327">
        <v>6941.51</v>
      </c>
      <c r="G16" s="327">
        <v>1136.4090000000001</v>
      </c>
      <c r="H16" s="98"/>
      <c r="I16" s="85"/>
    </row>
    <row r="17" spans="2:19" x14ac:dyDescent="0.25">
      <c r="B17" s="486">
        <f t="shared" si="0"/>
        <v>45478</v>
      </c>
      <c r="C17" s="486"/>
      <c r="D17" s="486"/>
      <c r="E17" s="327">
        <v>7159.57</v>
      </c>
      <c r="F17" s="327">
        <v>6967.89</v>
      </c>
      <c r="G17" s="327">
        <v>1143.3130000000001</v>
      </c>
      <c r="H17" s="98"/>
      <c r="I17" s="85"/>
    </row>
    <row r="18" spans="2:19" x14ac:dyDescent="0.25">
      <c r="B18" s="486">
        <f t="shared" si="0"/>
        <v>45509</v>
      </c>
      <c r="C18" s="486"/>
      <c r="D18" s="486"/>
      <c r="E18" s="327">
        <v>7149.55</v>
      </c>
      <c r="F18" s="327">
        <v>6966.5</v>
      </c>
      <c r="G18" s="327">
        <v>1146.575</v>
      </c>
      <c r="H18" s="98"/>
      <c r="I18" s="85"/>
    </row>
    <row r="19" spans="2:19" x14ac:dyDescent="0.25">
      <c r="B19" s="486">
        <f t="shared" si="0"/>
        <v>45540</v>
      </c>
      <c r="C19" s="486"/>
      <c r="D19" s="486"/>
      <c r="E19" s="327">
        <v>7183.87</v>
      </c>
      <c r="F19" s="327">
        <v>6997.15</v>
      </c>
      <c r="G19" s="327">
        <v>1153.7180000000001</v>
      </c>
      <c r="H19" s="98"/>
      <c r="I19" s="85"/>
    </row>
    <row r="20" spans="2:19" x14ac:dyDescent="0.25">
      <c r="B20" s="486">
        <f t="shared" si="0"/>
        <v>45571</v>
      </c>
      <c r="C20" s="486"/>
      <c r="D20" s="486"/>
      <c r="E20" s="327">
        <v>7227.69</v>
      </c>
      <c r="F20" s="327">
        <v>7036.33</v>
      </c>
      <c r="G20" s="327">
        <v>1171.2719999999999</v>
      </c>
      <c r="H20" s="98"/>
      <c r="I20" s="85"/>
    </row>
    <row r="21" spans="2:19" x14ac:dyDescent="0.25">
      <c r="B21" s="486">
        <f t="shared" si="0"/>
        <v>45602</v>
      </c>
      <c r="C21" s="486"/>
      <c r="D21" s="486"/>
      <c r="E21" s="327">
        <v>7251.54</v>
      </c>
      <c r="F21" s="327">
        <v>7063.77</v>
      </c>
      <c r="G21" s="327">
        <v>1186.462</v>
      </c>
      <c r="H21" s="98"/>
      <c r="I21" s="85"/>
    </row>
    <row r="22" spans="2:19" ht="15" customHeight="1" x14ac:dyDescent="0.25">
      <c r="B22" s="486">
        <f t="shared" si="0"/>
        <v>45633</v>
      </c>
      <c r="C22" s="486"/>
      <c r="D22" s="486"/>
      <c r="E22" s="327">
        <v>7286.35</v>
      </c>
      <c r="F22" s="327">
        <v>7100.5</v>
      </c>
      <c r="G22" s="327">
        <v>1197.5619999999999</v>
      </c>
      <c r="H22" s="98"/>
      <c r="I22" s="85"/>
    </row>
    <row r="23" spans="2:19" ht="15" customHeight="1" x14ac:dyDescent="0.25">
      <c r="B23" s="482" t="s">
        <v>20</v>
      </c>
      <c r="C23" s="482"/>
      <c r="D23" s="482"/>
      <c r="E23" s="239">
        <f>E22/E10-1</f>
        <v>4.7681149834501557E-2</v>
      </c>
      <c r="F23" s="239">
        <f>F22/F10-1</f>
        <v>4.8311967483947837E-2</v>
      </c>
      <c r="G23" s="239">
        <f>G22/G10-1</f>
        <v>6.5378374339010392E-2</v>
      </c>
      <c r="H23" s="320"/>
      <c r="I23" s="85"/>
    </row>
    <row r="24" spans="2:19" ht="15" customHeight="1" x14ac:dyDescent="0.25">
      <c r="B24" s="195" t="s">
        <v>21</v>
      </c>
      <c r="C24" s="87"/>
      <c r="D24" s="87"/>
      <c r="E24" s="29"/>
      <c r="F24" s="29"/>
      <c r="G24" s="29"/>
      <c r="H24" s="320"/>
      <c r="I24" s="29"/>
    </row>
    <row r="25" spans="2:19" x14ac:dyDescent="0.25">
      <c r="B25" s="29"/>
      <c r="C25" s="88"/>
      <c r="D25" s="88"/>
      <c r="E25" s="29"/>
      <c r="F25" s="29"/>
      <c r="G25" s="29"/>
      <c r="H25" s="320"/>
    </row>
    <row r="26" spans="2:19" ht="17.25" x14ac:dyDescent="0.25">
      <c r="B26" s="491" t="s">
        <v>343</v>
      </c>
      <c r="C26" s="491"/>
      <c r="D26" s="491"/>
      <c r="E26" s="491"/>
      <c r="F26" s="491"/>
      <c r="G26" s="491"/>
      <c r="H26" s="1"/>
      <c r="I26" s="21"/>
      <c r="J26" s="21"/>
      <c r="K26" s="21"/>
      <c r="L26" s="107"/>
      <c r="M26" s="444"/>
      <c r="N26" s="444"/>
      <c r="O26" s="444"/>
      <c r="P26" s="107"/>
      <c r="Q26" s="21"/>
      <c r="R26" s="21"/>
      <c r="S26" s="21"/>
    </row>
    <row r="27" spans="2:19" ht="31.5" customHeight="1" x14ac:dyDescent="0.25">
      <c r="B27" s="240" t="s">
        <v>16</v>
      </c>
      <c r="C27" s="240" t="s">
        <v>344</v>
      </c>
      <c r="D27" s="240" t="s">
        <v>345</v>
      </c>
      <c r="E27" s="240" t="s">
        <v>22</v>
      </c>
      <c r="F27" s="240" t="s">
        <v>346</v>
      </c>
      <c r="G27" s="240" t="s">
        <v>347</v>
      </c>
      <c r="H27" s="1"/>
      <c r="I27" s="184"/>
      <c r="J27" s="184"/>
      <c r="K27" s="184"/>
      <c r="L27" s="445"/>
      <c r="M27" s="184"/>
      <c r="N27" s="184"/>
      <c r="O27" s="184"/>
      <c r="P27" s="107"/>
      <c r="Q27" s="184"/>
      <c r="R27" s="184"/>
      <c r="S27" s="184"/>
    </row>
    <row r="28" spans="2:19" ht="15" customHeight="1" x14ac:dyDescent="0.25">
      <c r="B28" s="452">
        <v>44927</v>
      </c>
      <c r="C28" s="241">
        <v>16820903.16</v>
      </c>
      <c r="D28" s="241">
        <v>25492571</v>
      </c>
      <c r="E28" s="452">
        <v>45292</v>
      </c>
      <c r="F28" s="241">
        <v>18015558.129999999</v>
      </c>
      <c r="G28" s="241">
        <v>25361133</v>
      </c>
      <c r="H28" s="438"/>
      <c r="I28" s="21"/>
      <c r="J28" s="446"/>
      <c r="K28" s="447"/>
      <c r="L28" s="107"/>
      <c r="M28" s="21"/>
      <c r="N28" s="448"/>
      <c r="O28" s="449"/>
      <c r="P28" s="107"/>
      <c r="Q28" s="21"/>
      <c r="R28" s="450"/>
      <c r="S28" s="449"/>
    </row>
    <row r="29" spans="2:19" ht="15" customHeight="1" x14ac:dyDescent="0.25">
      <c r="B29" s="452">
        <f t="shared" ref="B29:B39" si="1">EDATE(B28,1)</f>
        <v>44958</v>
      </c>
      <c r="C29" s="241">
        <v>16148904.41</v>
      </c>
      <c r="D29" s="241">
        <v>25371941</v>
      </c>
      <c r="E29" s="452">
        <v>45323</v>
      </c>
      <c r="F29" s="241">
        <v>18353333.890000001</v>
      </c>
      <c r="G29" s="241">
        <v>24626602</v>
      </c>
      <c r="H29" s="438"/>
      <c r="I29" s="21"/>
      <c r="J29" s="446"/>
      <c r="K29" s="447"/>
      <c r="L29" s="107"/>
      <c r="M29" s="21"/>
      <c r="N29" s="448"/>
      <c r="O29" s="449"/>
      <c r="P29" s="107"/>
      <c r="Q29" s="107"/>
      <c r="R29" s="107"/>
      <c r="S29" s="107"/>
    </row>
    <row r="30" spans="2:19" ht="15" customHeight="1" x14ac:dyDescent="0.25">
      <c r="B30" s="452">
        <f t="shared" si="1"/>
        <v>44986</v>
      </c>
      <c r="C30" s="241">
        <v>15957341.460000001</v>
      </c>
      <c r="D30" s="241">
        <v>24095148</v>
      </c>
      <c r="E30" s="452">
        <v>45352</v>
      </c>
      <c r="F30" s="241">
        <v>17958238.260000002</v>
      </c>
      <c r="G30" s="241">
        <v>23853167</v>
      </c>
      <c r="H30" s="438"/>
      <c r="I30" s="21"/>
      <c r="J30" s="446"/>
      <c r="K30" s="447"/>
      <c r="L30" s="107"/>
      <c r="M30" s="21"/>
      <c r="N30" s="448"/>
      <c r="O30" s="449"/>
      <c r="P30" s="107"/>
      <c r="Q30" s="107"/>
      <c r="R30" s="107"/>
      <c r="S30" s="107"/>
    </row>
    <row r="31" spans="2:19" ht="15" customHeight="1" x14ac:dyDescent="0.25">
      <c r="B31" s="452">
        <f t="shared" si="1"/>
        <v>45017</v>
      </c>
      <c r="C31" s="241">
        <v>16662017.07</v>
      </c>
      <c r="D31" s="241">
        <v>26083340</v>
      </c>
      <c r="E31" s="452">
        <v>45383</v>
      </c>
      <c r="F31" s="241">
        <v>18729643.789999999</v>
      </c>
      <c r="G31" s="241">
        <v>25348172</v>
      </c>
      <c r="H31" s="438"/>
      <c r="I31" s="21"/>
      <c r="J31" s="446"/>
      <c r="K31" s="447"/>
      <c r="L31" s="107"/>
      <c r="M31" s="21"/>
      <c r="N31" s="448"/>
      <c r="O31" s="449"/>
      <c r="P31" s="107"/>
      <c r="Q31" s="107"/>
      <c r="R31" s="107"/>
      <c r="S31" s="107"/>
    </row>
    <row r="32" spans="2:19" ht="15" customHeight="1" x14ac:dyDescent="0.25">
      <c r="B32" s="452">
        <f t="shared" si="1"/>
        <v>45047</v>
      </c>
      <c r="C32" s="241">
        <v>16449109.470000001</v>
      </c>
      <c r="D32" s="241">
        <v>25098288</v>
      </c>
      <c r="E32" s="452">
        <v>45413</v>
      </c>
      <c r="F32" s="241">
        <v>19594370.079999998</v>
      </c>
      <c r="G32" s="241">
        <v>26798394</v>
      </c>
      <c r="H32" s="438"/>
      <c r="I32" s="21"/>
      <c r="J32" s="446"/>
      <c r="K32" s="447"/>
      <c r="L32" s="107"/>
      <c r="M32" s="183"/>
      <c r="N32" s="437"/>
      <c r="O32" s="437"/>
      <c r="P32" s="470"/>
      <c r="Q32" s="475"/>
      <c r="R32" s="475"/>
      <c r="S32" s="107"/>
    </row>
    <row r="33" spans="2:19" ht="15" customHeight="1" x14ac:dyDescent="0.25">
      <c r="B33" s="452">
        <f t="shared" si="1"/>
        <v>45078</v>
      </c>
      <c r="C33" s="241">
        <v>17687931.649999999</v>
      </c>
      <c r="D33" s="241">
        <v>26163323</v>
      </c>
      <c r="E33" s="452">
        <v>45444</v>
      </c>
      <c r="F33" s="241">
        <v>20407822.010000002</v>
      </c>
      <c r="G33" s="241">
        <v>28143279</v>
      </c>
      <c r="H33" s="438"/>
      <c r="I33" s="21"/>
      <c r="J33" s="446"/>
      <c r="K33" s="447"/>
      <c r="L33" s="107"/>
      <c r="M33" s="21"/>
      <c r="N33" s="448"/>
      <c r="O33" s="449"/>
      <c r="P33" s="107"/>
      <c r="Q33" s="107"/>
      <c r="R33" s="107"/>
      <c r="S33" s="107"/>
    </row>
    <row r="34" spans="2:19" ht="15" customHeight="1" x14ac:dyDescent="0.25">
      <c r="B34" s="452">
        <f t="shared" si="1"/>
        <v>45108</v>
      </c>
      <c r="C34" s="241">
        <v>16056074.32</v>
      </c>
      <c r="D34" s="241">
        <v>24726169</v>
      </c>
      <c r="E34" s="452">
        <v>45474</v>
      </c>
      <c r="F34" s="241">
        <v>18008493.359999999</v>
      </c>
      <c r="G34" s="241">
        <v>25297013</v>
      </c>
      <c r="H34" s="438"/>
      <c r="I34" s="21"/>
      <c r="J34" s="446"/>
      <c r="K34" s="447"/>
      <c r="L34" s="107"/>
      <c r="M34" s="21"/>
      <c r="N34" s="448"/>
      <c r="O34" s="449"/>
      <c r="P34" s="107"/>
      <c r="Q34" s="107"/>
      <c r="R34" s="107"/>
      <c r="S34" s="107"/>
    </row>
    <row r="35" spans="2:19" ht="15" customHeight="1" x14ac:dyDescent="0.25">
      <c r="B35" s="452">
        <f t="shared" si="1"/>
        <v>45139</v>
      </c>
      <c r="C35" s="241">
        <v>17845539.48</v>
      </c>
      <c r="D35" s="241">
        <v>24882293</v>
      </c>
      <c r="E35" s="452">
        <v>45505</v>
      </c>
      <c r="F35" s="241">
        <v>18121922.23</v>
      </c>
      <c r="G35" s="241">
        <v>25111478</v>
      </c>
      <c r="H35" s="438"/>
      <c r="I35" s="21"/>
      <c r="J35" s="446"/>
      <c r="K35" s="447"/>
      <c r="L35" s="107"/>
      <c r="M35" s="472"/>
      <c r="N35" s="448"/>
      <c r="O35" s="449"/>
      <c r="P35" s="107"/>
      <c r="Q35" s="107"/>
      <c r="R35" s="107"/>
      <c r="S35" s="107"/>
    </row>
    <row r="36" spans="2:19" ht="15" customHeight="1" x14ac:dyDescent="0.25">
      <c r="B36" s="452">
        <f t="shared" si="1"/>
        <v>45170</v>
      </c>
      <c r="C36" s="241">
        <v>18366214.899999999</v>
      </c>
      <c r="D36" s="241">
        <v>28028308</v>
      </c>
      <c r="E36" s="452">
        <v>45536</v>
      </c>
      <c r="F36" s="241">
        <v>18264248.870000001</v>
      </c>
      <c r="G36" s="241">
        <v>26792877</v>
      </c>
      <c r="H36" s="438"/>
      <c r="I36" s="21"/>
      <c r="J36" s="446"/>
      <c r="K36" s="447"/>
      <c r="L36" s="107"/>
      <c r="M36" s="472"/>
      <c r="N36" s="448"/>
      <c r="O36" s="449"/>
      <c r="P36" s="107"/>
      <c r="Q36" s="107"/>
      <c r="R36" s="107"/>
      <c r="S36" s="107"/>
    </row>
    <row r="37" spans="2:19" ht="15" customHeight="1" x14ac:dyDescent="0.25">
      <c r="B37" s="452">
        <f t="shared" si="1"/>
        <v>45200</v>
      </c>
      <c r="C37" s="241">
        <v>17674231.550000001</v>
      </c>
      <c r="D37" s="241">
        <v>25593752</v>
      </c>
      <c r="E37" s="452">
        <v>45566</v>
      </c>
      <c r="F37" s="241">
        <v>19891487.789999999</v>
      </c>
      <c r="G37" s="241">
        <v>28884190</v>
      </c>
      <c r="H37" s="438"/>
      <c r="I37" s="21"/>
      <c r="J37" s="446"/>
      <c r="K37" s="447"/>
      <c r="L37" s="107"/>
      <c r="M37" s="472"/>
      <c r="N37" s="448"/>
      <c r="O37" s="449"/>
      <c r="P37" s="107"/>
      <c r="Q37" s="107"/>
      <c r="R37" s="107"/>
      <c r="S37" s="107"/>
    </row>
    <row r="38" spans="2:19" ht="15" customHeight="1" x14ac:dyDescent="0.25">
      <c r="B38" s="452">
        <f t="shared" si="1"/>
        <v>45231</v>
      </c>
      <c r="C38" s="241">
        <v>18130140.690000001</v>
      </c>
      <c r="D38" s="241">
        <v>27066070</v>
      </c>
      <c r="E38" s="452">
        <v>45597</v>
      </c>
      <c r="F38" s="241">
        <v>18316455.190000001</v>
      </c>
      <c r="G38" s="241">
        <v>33963480</v>
      </c>
      <c r="H38" s="478"/>
      <c r="I38" s="437"/>
      <c r="J38" s="446"/>
      <c r="K38" s="447"/>
      <c r="L38" s="107"/>
      <c r="M38" s="472"/>
      <c r="N38" s="448"/>
      <c r="O38" s="449"/>
      <c r="P38" s="107"/>
      <c r="Q38" s="107"/>
      <c r="R38" s="107"/>
      <c r="S38" s="107"/>
    </row>
    <row r="39" spans="2:19" ht="15" customHeight="1" x14ac:dyDescent="0.25">
      <c r="B39" s="452">
        <f t="shared" si="1"/>
        <v>45261</v>
      </c>
      <c r="C39" s="241">
        <v>19906292.890000001</v>
      </c>
      <c r="D39" s="241">
        <v>28377355</v>
      </c>
      <c r="E39" s="452">
        <v>45627</v>
      </c>
      <c r="F39" s="241">
        <v>23167899.149999999</v>
      </c>
      <c r="G39" s="241">
        <v>46525151</v>
      </c>
      <c r="H39" s="478"/>
      <c r="I39" s="437"/>
      <c r="J39" s="469"/>
      <c r="K39" s="447"/>
      <c r="L39" s="107"/>
      <c r="M39" s="472"/>
      <c r="N39" s="448"/>
      <c r="O39" s="449"/>
      <c r="P39" s="107"/>
      <c r="Q39" s="107"/>
      <c r="R39" s="107"/>
      <c r="S39" s="107"/>
    </row>
    <row r="40" spans="2:19" ht="15" customHeight="1" x14ac:dyDescent="0.25">
      <c r="B40" s="453" t="s">
        <v>23</v>
      </c>
      <c r="C40" s="454">
        <f>SUM(C28:C39)</f>
        <v>207704701.05000001</v>
      </c>
      <c r="D40" s="454">
        <f>SUM(D28:D39)</f>
        <v>310978558</v>
      </c>
      <c r="E40" s="453" t="s">
        <v>23</v>
      </c>
      <c r="F40" s="454">
        <f>SUM(F28:F39)</f>
        <v>228829472.75</v>
      </c>
      <c r="G40" s="454">
        <f>SUM(G28:G39)</f>
        <v>340704936</v>
      </c>
      <c r="H40" s="478"/>
      <c r="I40" s="21"/>
      <c r="J40" s="446"/>
      <c r="K40" s="447"/>
      <c r="L40" s="107"/>
      <c r="M40" s="472"/>
      <c r="N40" s="450"/>
      <c r="O40" s="449"/>
      <c r="P40" s="107"/>
      <c r="Q40" s="107"/>
      <c r="R40" s="107"/>
      <c r="S40" s="107"/>
    </row>
    <row r="41" spans="2:19" ht="18.75" customHeight="1" x14ac:dyDescent="0.25">
      <c r="C41" s="1"/>
      <c r="D41" s="1"/>
      <c r="E41" s="1"/>
      <c r="F41" s="1"/>
      <c r="G41" s="1"/>
      <c r="H41" s="1"/>
      <c r="I41" s="21"/>
      <c r="J41" s="451"/>
      <c r="K41" s="449"/>
      <c r="L41" s="107"/>
      <c r="M41" s="473"/>
      <c r="N41" s="107"/>
      <c r="O41" s="107"/>
      <c r="P41" s="107"/>
      <c r="Q41" s="107"/>
      <c r="R41" s="107"/>
      <c r="S41" s="107"/>
    </row>
    <row r="42" spans="2:19" ht="15" customHeight="1" x14ac:dyDescent="0.25">
      <c r="B42" s="440" t="s">
        <v>348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474"/>
      <c r="N42" s="441"/>
      <c r="O42" s="1"/>
      <c r="P42" s="1"/>
      <c r="Q42" s="1"/>
      <c r="R42" s="1"/>
      <c r="S42" s="1"/>
    </row>
    <row r="43" spans="2:19" ht="15" customHeight="1" x14ac:dyDescent="0.25">
      <c r="B43" s="440" t="s">
        <v>349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92"/>
      <c r="N43" s="441"/>
      <c r="O43" s="1"/>
      <c r="P43" s="1"/>
      <c r="Q43" s="1"/>
      <c r="R43" s="1"/>
      <c r="S43" s="1"/>
    </row>
    <row r="44" spans="2:19" ht="15" customHeight="1" x14ac:dyDescent="0.25">
      <c r="B44" s="440" t="s">
        <v>350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92"/>
      <c r="N44" s="1"/>
      <c r="O44" s="1"/>
      <c r="P44" s="1"/>
      <c r="Q44" s="1"/>
      <c r="R44" s="1"/>
      <c r="S44" s="1"/>
    </row>
    <row r="45" spans="2:19" ht="15" customHeight="1" x14ac:dyDescent="0.25">
      <c r="B45" s="440" t="s">
        <v>351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471"/>
      <c r="N45" s="1"/>
      <c r="O45" s="1"/>
      <c r="P45" s="1"/>
      <c r="Q45" s="1"/>
      <c r="R45" s="1"/>
      <c r="S45" s="1"/>
    </row>
    <row r="46" spans="2:19" x14ac:dyDescent="0.25">
      <c r="B46" s="442" t="s">
        <v>24</v>
      </c>
      <c r="K46" s="26"/>
      <c r="M46" s="3"/>
    </row>
    <row r="47" spans="2:19" ht="15" customHeight="1" x14ac:dyDescent="0.25">
      <c r="I47" s="18"/>
      <c r="M47" s="18"/>
    </row>
    <row r="48" spans="2:19" ht="15" customHeight="1" x14ac:dyDescent="0.25">
      <c r="B48" s="482" t="s">
        <v>25</v>
      </c>
      <c r="C48" s="482"/>
      <c r="D48" s="482"/>
      <c r="E48" s="482"/>
      <c r="F48" s="482"/>
      <c r="G48" s="482"/>
      <c r="H48" s="482"/>
      <c r="I48" s="18"/>
      <c r="J48" s="3"/>
      <c r="M48" s="18"/>
    </row>
    <row r="49" spans="2:9" ht="15" customHeight="1" x14ac:dyDescent="0.25">
      <c r="B49" s="487" t="s">
        <v>26</v>
      </c>
      <c r="C49" s="487"/>
      <c r="D49" s="487"/>
      <c r="E49" s="487"/>
      <c r="F49" s="240" t="s">
        <v>27</v>
      </c>
      <c r="G49" s="240" t="s">
        <v>28</v>
      </c>
      <c r="H49" s="240" t="s">
        <v>29</v>
      </c>
      <c r="I49" s="18"/>
    </row>
    <row r="50" spans="2:9" x14ac:dyDescent="0.25">
      <c r="B50" s="488" t="s">
        <v>30</v>
      </c>
      <c r="C50" s="489"/>
      <c r="D50" s="489"/>
      <c r="E50" s="490"/>
      <c r="F50" s="378">
        <f>F40</f>
        <v>228829472.75</v>
      </c>
      <c r="G50" s="379">
        <f>G40</f>
        <v>340704936</v>
      </c>
      <c r="H50" s="443">
        <f>F50/G50</f>
        <v>0.67163533184033475</v>
      </c>
    </row>
    <row r="51" spans="2:9" x14ac:dyDescent="0.25">
      <c r="B51" s="488" t="s">
        <v>31</v>
      </c>
      <c r="C51" s="489"/>
      <c r="D51" s="489"/>
      <c r="E51" s="490"/>
      <c r="F51" s="378">
        <f>C40</f>
        <v>207704701.05000001</v>
      </c>
      <c r="G51" s="379">
        <f>D40</f>
        <v>310978558</v>
      </c>
      <c r="H51" s="443">
        <f>F51/G51</f>
        <v>0.66790682414187541</v>
      </c>
    </row>
    <row r="52" spans="2:9" x14ac:dyDescent="0.25">
      <c r="B52" s="483" t="s">
        <v>32</v>
      </c>
      <c r="C52" s="484"/>
      <c r="D52" s="484"/>
      <c r="E52" s="484"/>
      <c r="F52" s="484"/>
      <c r="G52" s="485"/>
      <c r="H52" s="242">
        <f>H50/H51-1</f>
        <v>5.5823770078253787E-3</v>
      </c>
    </row>
    <row r="53" spans="2:9" x14ac:dyDescent="0.25"/>
  </sheetData>
  <mergeCells count="22">
    <mergeCell ref="B8:G8"/>
    <mergeCell ref="B18:D18"/>
    <mergeCell ref="B19:D19"/>
    <mergeCell ref="B20:D20"/>
    <mergeCell ref="B21:D21"/>
    <mergeCell ref="B9:D9"/>
    <mergeCell ref="B10:D10"/>
    <mergeCell ref="B11:D11"/>
    <mergeCell ref="B12:D12"/>
    <mergeCell ref="B13:D13"/>
    <mergeCell ref="B14:D14"/>
    <mergeCell ref="B15:D15"/>
    <mergeCell ref="B16:D16"/>
    <mergeCell ref="B52:G52"/>
    <mergeCell ref="B17:D17"/>
    <mergeCell ref="B48:H48"/>
    <mergeCell ref="B49:E49"/>
    <mergeCell ref="B50:E50"/>
    <mergeCell ref="B51:E51"/>
    <mergeCell ref="B26:G26"/>
    <mergeCell ref="B23:D23"/>
    <mergeCell ref="B22:D2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2AB94-AA01-43CA-80B5-B94BA051B95A}">
  <sheetPr>
    <tabColor theme="3"/>
  </sheetPr>
  <dimension ref="A1:U69"/>
  <sheetViews>
    <sheetView showGridLines="0" zoomScaleNormal="100" workbookViewId="0">
      <selection activeCell="Q19" sqref="Q19"/>
    </sheetView>
  </sheetViews>
  <sheetFormatPr defaultColWidth="0" defaultRowHeight="0" customHeight="1" zeroHeight="1" x14ac:dyDescent="0.25"/>
  <cols>
    <col min="1" max="1" width="3.7109375" customWidth="1"/>
    <col min="2" max="2" width="23.7109375" customWidth="1"/>
    <col min="3" max="3" width="14.140625" customWidth="1"/>
    <col min="4" max="4" width="22.7109375" customWidth="1"/>
    <col min="5" max="5" width="16.140625" customWidth="1"/>
    <col min="6" max="6" width="17" bestFit="1" customWidth="1"/>
    <col min="7" max="7" width="4.7109375" customWidth="1"/>
    <col min="8" max="8" width="20" bestFit="1" customWidth="1"/>
    <col min="9" max="9" width="24.42578125" customWidth="1"/>
    <col min="10" max="10" width="5.42578125" customWidth="1"/>
    <col min="11" max="11" width="24.28515625" bestFit="1" customWidth="1"/>
    <col min="12" max="14" width="19.7109375" customWidth="1"/>
    <col min="15" max="15" width="7.28515625" customWidth="1"/>
    <col min="16" max="16" width="14.140625" customWidth="1"/>
    <col min="17" max="17" width="3.7109375" customWidth="1"/>
    <col min="18" max="16384" width="9.140625" hidden="1"/>
  </cols>
  <sheetData>
    <row r="1" spans="1:19" s="21" customFormat="1" ht="3" customHeight="1" x14ac:dyDescent="0.25"/>
    <row r="2" spans="1:19" s="21" customFormat="1" ht="15" x14ac:dyDescent="0.25"/>
    <row r="3" spans="1:19" s="83" customFormat="1" ht="15" customHeight="1" x14ac:dyDescent="0.25"/>
    <row r="4" spans="1:19" s="83" customFormat="1" ht="15" x14ac:dyDescent="0.25"/>
    <row r="5" spans="1:19" s="83" customFormat="1" ht="20.100000000000001" customHeight="1" x14ac:dyDescent="0.25"/>
    <row r="6" spans="1:19" ht="15" x14ac:dyDescent="0.25"/>
    <row r="7" spans="1:19" ht="18.75" x14ac:dyDescent="0.25">
      <c r="C7" s="102" t="s">
        <v>33</v>
      </c>
      <c r="G7" s="102"/>
    </row>
    <row r="8" spans="1:19" ht="15" customHeight="1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9" ht="15.75" x14ac:dyDescent="0.25">
      <c r="B9" s="481" t="s">
        <v>34</v>
      </c>
      <c r="C9" s="481"/>
      <c r="D9" s="481"/>
      <c r="E9" s="481"/>
      <c r="F9" s="481"/>
      <c r="G9" s="21"/>
      <c r="H9" s="494" t="s">
        <v>35</v>
      </c>
      <c r="I9" s="494"/>
      <c r="J9" s="494"/>
      <c r="K9" s="494"/>
      <c r="L9" s="494"/>
      <c r="M9" s="494"/>
      <c r="N9" s="494"/>
    </row>
    <row r="10" spans="1:19" ht="15.75" x14ac:dyDescent="0.25">
      <c r="B10" s="213" t="s">
        <v>36</v>
      </c>
      <c r="C10" s="213" t="s">
        <v>37</v>
      </c>
      <c r="D10" s="213" t="s">
        <v>38</v>
      </c>
      <c r="E10" s="213" t="s">
        <v>37</v>
      </c>
      <c r="F10" s="213" t="s">
        <v>39</v>
      </c>
      <c r="G10" s="21"/>
      <c r="H10" s="495"/>
      <c r="I10" s="495"/>
      <c r="J10" s="495"/>
      <c r="K10" s="208" t="s">
        <v>40</v>
      </c>
      <c r="L10" s="208" t="s">
        <v>41</v>
      </c>
      <c r="M10" s="208" t="s">
        <v>42</v>
      </c>
      <c r="N10" s="208" t="s">
        <v>43</v>
      </c>
    </row>
    <row r="11" spans="1:19" ht="15.75" x14ac:dyDescent="0.25">
      <c r="B11" s="216">
        <v>44927</v>
      </c>
      <c r="C11" s="209">
        <v>2888512</v>
      </c>
      <c r="D11" s="216">
        <v>45292</v>
      </c>
      <c r="E11" s="209">
        <v>2091064</v>
      </c>
      <c r="F11" s="218">
        <f>IF(C11-E11&lt;=0,"",C11-E11)</f>
        <v>797448</v>
      </c>
      <c r="G11" s="21"/>
      <c r="H11" s="493" t="s">
        <v>44</v>
      </c>
      <c r="I11" s="493"/>
      <c r="J11" s="493"/>
      <c r="K11" s="209">
        <f>SUM(F11:F22)</f>
        <v>12532179</v>
      </c>
      <c r="L11" s="209">
        <f>SUM(F26:F37)</f>
        <v>1164155</v>
      </c>
      <c r="M11" s="209">
        <f>SUM(F41:F52)</f>
        <v>1659227</v>
      </c>
      <c r="N11" s="209">
        <f>SUM(F56:F67)</f>
        <v>67071</v>
      </c>
    </row>
    <row r="12" spans="1:19" ht="15.75" x14ac:dyDescent="0.25">
      <c r="B12" s="216">
        <v>44958</v>
      </c>
      <c r="C12" s="209">
        <v>3937754</v>
      </c>
      <c r="D12" s="216">
        <f>+D11+31</f>
        <v>45323</v>
      </c>
      <c r="E12" s="209">
        <v>2913721</v>
      </c>
      <c r="F12" s="218">
        <f t="shared" ref="F12:F22" si="0">IF(C12-E12&lt;=0,"",C12-E12)</f>
        <v>1024033</v>
      </c>
      <c r="G12" s="21"/>
      <c r="H12" s="493" t="s">
        <v>45</v>
      </c>
      <c r="I12" s="493"/>
      <c r="J12" s="493"/>
      <c r="K12" s="210">
        <v>0.2</v>
      </c>
      <c r="L12" s="210">
        <v>0.2</v>
      </c>
      <c r="M12" s="210">
        <v>0.2</v>
      </c>
      <c r="N12" s="210">
        <v>0.2</v>
      </c>
    </row>
    <row r="13" spans="1:19" ht="15.75" x14ac:dyDescent="0.25">
      <c r="B13" s="216">
        <v>44986</v>
      </c>
      <c r="C13" s="209">
        <v>4383862</v>
      </c>
      <c r="D13" s="216">
        <f t="shared" ref="D13:D22" si="1">+D12+31</f>
        <v>45354</v>
      </c>
      <c r="E13" s="209">
        <v>3293504</v>
      </c>
      <c r="F13" s="218">
        <f t="shared" si="0"/>
        <v>1090358</v>
      </c>
      <c r="G13" s="21"/>
      <c r="H13" s="493" t="s">
        <v>46</v>
      </c>
      <c r="I13" s="493"/>
      <c r="J13" s="493"/>
      <c r="K13" s="209">
        <f>K11*K12</f>
        <v>2506435.8000000003</v>
      </c>
      <c r="L13" s="209">
        <f t="shared" ref="L13:N13" si="2">L11*L12</f>
        <v>232831</v>
      </c>
      <c r="M13" s="209">
        <f t="shared" si="2"/>
        <v>331845.40000000002</v>
      </c>
      <c r="N13" s="209">
        <f t="shared" si="2"/>
        <v>13414.2</v>
      </c>
    </row>
    <row r="14" spans="1:19" ht="15.75" x14ac:dyDescent="0.25">
      <c r="B14" s="216">
        <v>45017</v>
      </c>
      <c r="C14" s="209">
        <v>4244319</v>
      </c>
      <c r="D14" s="216">
        <f t="shared" si="1"/>
        <v>45385</v>
      </c>
      <c r="E14" s="209">
        <v>3194013</v>
      </c>
      <c r="F14" s="218">
        <f t="shared" si="0"/>
        <v>1050306</v>
      </c>
      <c r="G14" s="21"/>
      <c r="H14" s="493" t="s">
        <v>47</v>
      </c>
      <c r="I14" s="493"/>
      <c r="J14" s="493"/>
      <c r="K14" s="211">
        <v>3.76</v>
      </c>
      <c r="L14" s="211">
        <v>1.88</v>
      </c>
      <c r="M14" s="211">
        <v>7.76</v>
      </c>
      <c r="N14" s="211">
        <v>7.76</v>
      </c>
      <c r="O14" s="21"/>
      <c r="P14" s="21"/>
      <c r="Q14" s="21"/>
      <c r="R14" s="21"/>
      <c r="S14" s="21"/>
    </row>
    <row r="15" spans="1:19" ht="15.75" x14ac:dyDescent="0.25">
      <c r="B15" s="216">
        <v>45047</v>
      </c>
      <c r="C15" s="209">
        <v>2630617</v>
      </c>
      <c r="D15" s="216">
        <f t="shared" si="1"/>
        <v>45416</v>
      </c>
      <c r="E15" s="209">
        <v>1921121</v>
      </c>
      <c r="F15" s="218">
        <f t="shared" si="0"/>
        <v>709496</v>
      </c>
      <c r="G15" s="21"/>
      <c r="H15" s="493" t="s">
        <v>48</v>
      </c>
      <c r="I15" s="493"/>
      <c r="J15" s="493"/>
      <c r="K15" s="212">
        <f>K13*K14</f>
        <v>9424198.6080000009</v>
      </c>
      <c r="L15" s="212">
        <f>L13*L14</f>
        <v>437722.27999999997</v>
      </c>
      <c r="M15" s="212">
        <f>M13*M14</f>
        <v>2575120.304</v>
      </c>
      <c r="N15" s="212">
        <f>N13*N14</f>
        <v>104094.19200000001</v>
      </c>
      <c r="O15" s="21"/>
      <c r="P15" s="21"/>
      <c r="Q15" s="21"/>
      <c r="R15" s="21"/>
    </row>
    <row r="16" spans="1:19" ht="15" x14ac:dyDescent="0.25">
      <c r="B16" s="216">
        <v>45078</v>
      </c>
      <c r="C16" s="209">
        <v>4574861</v>
      </c>
      <c r="D16" s="216">
        <f t="shared" si="1"/>
        <v>45447</v>
      </c>
      <c r="E16" s="209">
        <v>3486628</v>
      </c>
      <c r="F16" s="218">
        <f t="shared" si="0"/>
        <v>1088233</v>
      </c>
      <c r="G16" s="21"/>
      <c r="H16" s="482" t="s">
        <v>49</v>
      </c>
      <c r="I16" s="482"/>
      <c r="J16" s="482"/>
      <c r="K16" s="214">
        <f>SUM(K15:N15)</f>
        <v>12541135.384</v>
      </c>
      <c r="L16" s="21"/>
      <c r="M16" s="21"/>
      <c r="N16" s="21"/>
      <c r="O16" s="21"/>
      <c r="P16" s="21"/>
      <c r="Q16" s="21"/>
      <c r="R16" s="21"/>
    </row>
    <row r="17" spans="1:21" ht="15" x14ac:dyDescent="0.25">
      <c r="B17" s="216">
        <v>45108</v>
      </c>
      <c r="C17" s="209">
        <v>3232859</v>
      </c>
      <c r="D17" s="216">
        <f t="shared" si="1"/>
        <v>45478</v>
      </c>
      <c r="E17" s="209">
        <v>2390669</v>
      </c>
      <c r="F17" s="218">
        <f>IF(C17-E17&lt;=0,"",C17-E17)</f>
        <v>842190</v>
      </c>
      <c r="G17" s="21"/>
      <c r="H17" s="466" t="s">
        <v>50</v>
      </c>
      <c r="I17" s="21"/>
      <c r="J17" s="21"/>
      <c r="K17" s="158"/>
      <c r="L17" s="158"/>
      <c r="M17" s="158"/>
      <c r="N17" s="158"/>
      <c r="O17" s="21"/>
      <c r="P17" s="21"/>
      <c r="Q17" s="21"/>
      <c r="R17" s="21"/>
    </row>
    <row r="18" spans="1:21" ht="15" x14ac:dyDescent="0.25">
      <c r="B18" s="216">
        <v>45139</v>
      </c>
      <c r="C18" s="209">
        <v>4539503</v>
      </c>
      <c r="D18" s="216">
        <f t="shared" si="1"/>
        <v>45509</v>
      </c>
      <c r="E18" s="209">
        <v>3436884</v>
      </c>
      <c r="F18" s="218">
        <f t="shared" si="0"/>
        <v>1102619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1:21" ht="15" x14ac:dyDescent="0.25">
      <c r="B19" s="216">
        <v>45170</v>
      </c>
      <c r="C19" s="209">
        <v>3978302</v>
      </c>
      <c r="D19" s="216">
        <f t="shared" si="1"/>
        <v>45540</v>
      </c>
      <c r="E19" s="209">
        <v>3025730</v>
      </c>
      <c r="F19" s="218">
        <f t="shared" si="0"/>
        <v>952572</v>
      </c>
      <c r="G19" s="21"/>
      <c r="H19" s="502"/>
      <c r="I19" s="502"/>
      <c r="J19" s="502"/>
      <c r="K19" s="149"/>
      <c r="L19" s="150"/>
      <c r="M19" s="21"/>
      <c r="N19" s="21"/>
      <c r="O19" s="21"/>
      <c r="P19" s="21"/>
      <c r="Q19" s="21"/>
      <c r="R19" s="21"/>
    </row>
    <row r="20" spans="1:21" ht="18" x14ac:dyDescent="0.25">
      <c r="B20" s="216">
        <v>45200</v>
      </c>
      <c r="C20" s="209">
        <v>4514460</v>
      </c>
      <c r="D20" s="216">
        <f t="shared" si="1"/>
        <v>45571</v>
      </c>
      <c r="E20" s="209">
        <v>3446352</v>
      </c>
      <c r="F20" s="218">
        <f t="shared" si="0"/>
        <v>1068108</v>
      </c>
      <c r="G20" s="21"/>
      <c r="H20" s="496" t="s">
        <v>51</v>
      </c>
      <c r="I20" s="497"/>
      <c r="J20" s="498"/>
      <c r="K20" s="201" t="s">
        <v>52</v>
      </c>
      <c r="L20" s="202">
        <f>K16</f>
        <v>12541135.384</v>
      </c>
      <c r="M20" s="21"/>
      <c r="N20" s="21"/>
      <c r="O20" s="21"/>
      <c r="P20" s="21"/>
      <c r="Q20" s="21"/>
      <c r="R20" s="21"/>
      <c r="S20" s="21"/>
      <c r="T20" s="21"/>
    </row>
    <row r="21" spans="1:21" ht="15" x14ac:dyDescent="0.25">
      <c r="B21" s="216">
        <v>45231</v>
      </c>
      <c r="C21" s="209">
        <v>6149372</v>
      </c>
      <c r="D21" s="216">
        <f t="shared" si="1"/>
        <v>45602</v>
      </c>
      <c r="E21" s="209">
        <v>4576932</v>
      </c>
      <c r="F21" s="218">
        <f t="shared" si="0"/>
        <v>1572440</v>
      </c>
      <c r="G21" s="21"/>
      <c r="H21" s="499" t="s">
        <v>53</v>
      </c>
      <c r="I21" s="500"/>
      <c r="J21" s="501"/>
      <c r="K21" s="204" t="s">
        <v>54</v>
      </c>
      <c r="L21" s="205">
        <f>Volume_2024!P129</f>
        <v>313860355.31000006</v>
      </c>
      <c r="M21" s="21"/>
      <c r="N21" s="21"/>
      <c r="O21" s="21"/>
      <c r="P21" s="21"/>
      <c r="Q21" s="21"/>
      <c r="R21" s="21"/>
      <c r="S21" s="21"/>
      <c r="T21" s="21"/>
      <c r="U21" s="21"/>
    </row>
    <row r="22" spans="1:21" ht="15" customHeight="1" x14ac:dyDescent="0.25">
      <c r="B22" s="216">
        <v>45261</v>
      </c>
      <c r="C22" s="209">
        <v>4901751</v>
      </c>
      <c r="D22" s="216">
        <f t="shared" si="1"/>
        <v>45633</v>
      </c>
      <c r="E22" s="209">
        <v>3667375</v>
      </c>
      <c r="F22" s="218">
        <f t="shared" si="0"/>
        <v>1234376</v>
      </c>
      <c r="G22" s="21"/>
      <c r="H22" s="503" t="s">
        <v>55</v>
      </c>
      <c r="I22" s="504"/>
      <c r="J22" s="505"/>
      <c r="K22" s="206" t="s">
        <v>56</v>
      </c>
      <c r="L22" s="207">
        <f>L20/L21</f>
        <v>3.9957691921979482E-2</v>
      </c>
      <c r="M22" s="21"/>
      <c r="N22" s="21"/>
      <c r="O22" s="21"/>
    </row>
    <row r="23" spans="1:21" ht="15" customHeight="1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21" ht="15.75" x14ac:dyDescent="0.25">
      <c r="A24" s="21"/>
      <c r="B24" s="481" t="s">
        <v>57</v>
      </c>
      <c r="C24" s="481"/>
      <c r="D24" s="481"/>
      <c r="E24" s="481"/>
      <c r="F24" s="481"/>
      <c r="G24" s="21"/>
      <c r="H24" s="21"/>
      <c r="M24" s="21"/>
      <c r="N24" s="21"/>
    </row>
    <row r="25" spans="1:21" ht="15" x14ac:dyDescent="0.25">
      <c r="A25" s="21"/>
      <c r="B25" s="213" t="s">
        <v>36</v>
      </c>
      <c r="C25" s="213" t="s">
        <v>37</v>
      </c>
      <c r="D25" s="213" t="s">
        <v>38</v>
      </c>
      <c r="E25" s="213" t="s">
        <v>37</v>
      </c>
      <c r="F25" s="213" t="s">
        <v>39</v>
      </c>
      <c r="G25" s="21"/>
      <c r="H25" s="21"/>
    </row>
    <row r="26" spans="1:21" ht="15.75" customHeight="1" x14ac:dyDescent="0.25">
      <c r="A26" s="21"/>
      <c r="B26" s="204">
        <f>+B11</f>
        <v>44927</v>
      </c>
      <c r="C26" s="215">
        <v>235738</v>
      </c>
      <c r="D26" s="216">
        <f>+D11</f>
        <v>45292</v>
      </c>
      <c r="E26" s="215">
        <v>162765</v>
      </c>
      <c r="F26" s="217">
        <f t="shared" ref="F26:F37" si="3">IF(C26-E26&lt;=0,"",C26-E26)</f>
        <v>72973</v>
      </c>
      <c r="G26" s="21"/>
      <c r="H26" s="21"/>
    </row>
    <row r="27" spans="1:21" ht="15.75" customHeight="1" x14ac:dyDescent="0.25">
      <c r="A27" s="21"/>
      <c r="B27" s="204">
        <f t="shared" ref="B27:B37" si="4">+B12</f>
        <v>44958</v>
      </c>
      <c r="C27" s="215">
        <v>321265</v>
      </c>
      <c r="D27" s="216">
        <f t="shared" ref="D27:D37" si="5">+D12</f>
        <v>45323</v>
      </c>
      <c r="E27" s="215">
        <v>226128</v>
      </c>
      <c r="F27" s="217">
        <f t="shared" si="3"/>
        <v>95137</v>
      </c>
      <c r="G27" s="21"/>
      <c r="H27" s="21"/>
    </row>
    <row r="28" spans="1:21" ht="15.75" customHeight="1" x14ac:dyDescent="0.25">
      <c r="A28" s="21"/>
      <c r="B28" s="204">
        <f t="shared" si="4"/>
        <v>44986</v>
      </c>
      <c r="C28" s="215">
        <v>339694</v>
      </c>
      <c r="D28" s="216">
        <f t="shared" si="5"/>
        <v>45354</v>
      </c>
      <c r="E28" s="215">
        <v>240641</v>
      </c>
      <c r="F28" s="217">
        <f t="shared" si="3"/>
        <v>99053</v>
      </c>
      <c r="G28" s="21"/>
      <c r="H28" s="21"/>
    </row>
    <row r="29" spans="1:21" ht="15.75" customHeight="1" x14ac:dyDescent="0.25">
      <c r="A29" s="21"/>
      <c r="B29" s="204">
        <f t="shared" si="4"/>
        <v>45017</v>
      </c>
      <c r="C29" s="215">
        <v>335191</v>
      </c>
      <c r="D29" s="216">
        <f t="shared" si="5"/>
        <v>45385</v>
      </c>
      <c r="E29" s="215">
        <v>235957</v>
      </c>
      <c r="F29" s="217">
        <f t="shared" si="3"/>
        <v>99234</v>
      </c>
      <c r="G29" s="21"/>
      <c r="H29" s="21"/>
    </row>
    <row r="30" spans="1:21" ht="15.75" customHeight="1" x14ac:dyDescent="0.25">
      <c r="A30" s="21"/>
      <c r="B30" s="204">
        <f t="shared" si="4"/>
        <v>45047</v>
      </c>
      <c r="C30" s="215">
        <v>228460</v>
      </c>
      <c r="D30" s="216">
        <f t="shared" si="5"/>
        <v>45416</v>
      </c>
      <c r="E30" s="215">
        <v>162301</v>
      </c>
      <c r="F30" s="217">
        <f t="shared" si="3"/>
        <v>66159</v>
      </c>
      <c r="G30" s="21"/>
      <c r="H30" s="21"/>
    </row>
    <row r="31" spans="1:21" ht="15.75" customHeight="1" x14ac:dyDescent="0.25">
      <c r="A31" s="21"/>
      <c r="B31" s="204">
        <f t="shared" si="4"/>
        <v>45078</v>
      </c>
      <c r="C31" s="215">
        <v>336113</v>
      </c>
      <c r="D31" s="216">
        <f t="shared" si="5"/>
        <v>45447</v>
      </c>
      <c r="E31" s="215">
        <v>240627</v>
      </c>
      <c r="F31" s="217">
        <f t="shared" si="3"/>
        <v>95486</v>
      </c>
      <c r="G31" s="21"/>
      <c r="H31" s="21"/>
    </row>
    <row r="32" spans="1:21" ht="15.75" customHeight="1" x14ac:dyDescent="0.25">
      <c r="A32" s="21"/>
      <c r="B32" s="204">
        <f t="shared" si="4"/>
        <v>45108</v>
      </c>
      <c r="C32" s="215">
        <v>273409</v>
      </c>
      <c r="D32" s="216">
        <f t="shared" si="5"/>
        <v>45478</v>
      </c>
      <c r="E32" s="215">
        <v>193331</v>
      </c>
      <c r="F32" s="217">
        <f t="shared" si="3"/>
        <v>80078</v>
      </c>
      <c r="G32" s="21"/>
      <c r="H32" s="21"/>
    </row>
    <row r="33" spans="1:8" ht="15.75" customHeight="1" x14ac:dyDescent="0.25">
      <c r="A33" s="21"/>
      <c r="B33" s="204">
        <f t="shared" si="4"/>
        <v>45139</v>
      </c>
      <c r="C33" s="215">
        <v>345003</v>
      </c>
      <c r="D33" s="216">
        <f t="shared" si="5"/>
        <v>45509</v>
      </c>
      <c r="E33" s="215">
        <v>246713</v>
      </c>
      <c r="F33" s="217">
        <f t="shared" si="3"/>
        <v>98290</v>
      </c>
      <c r="G33" s="21"/>
      <c r="H33" s="21"/>
    </row>
    <row r="34" spans="1:8" ht="15.75" customHeight="1" x14ac:dyDescent="0.25">
      <c r="A34" s="21"/>
      <c r="B34" s="204">
        <f t="shared" si="4"/>
        <v>45170</v>
      </c>
      <c r="C34" s="215">
        <v>333885</v>
      </c>
      <c r="D34" s="216">
        <f t="shared" si="5"/>
        <v>45540</v>
      </c>
      <c r="E34" s="215">
        <v>242118</v>
      </c>
      <c r="F34" s="217">
        <f t="shared" si="3"/>
        <v>91767</v>
      </c>
      <c r="G34" s="21"/>
      <c r="H34" s="21"/>
    </row>
    <row r="35" spans="1:8" ht="15.75" customHeight="1" x14ac:dyDescent="0.25">
      <c r="B35" s="204">
        <f t="shared" si="4"/>
        <v>45200</v>
      </c>
      <c r="C35" s="215">
        <v>381583</v>
      </c>
      <c r="D35" s="216">
        <f t="shared" si="5"/>
        <v>45571</v>
      </c>
      <c r="E35" s="215">
        <v>277666</v>
      </c>
      <c r="F35" s="217">
        <f t="shared" si="3"/>
        <v>103917</v>
      </c>
      <c r="G35" s="21"/>
      <c r="H35" s="21"/>
    </row>
    <row r="36" spans="1:8" ht="15.75" customHeight="1" x14ac:dyDescent="0.25">
      <c r="B36" s="204">
        <f t="shared" si="4"/>
        <v>45231</v>
      </c>
      <c r="C36" s="215">
        <v>489582</v>
      </c>
      <c r="D36" s="216">
        <f t="shared" si="5"/>
        <v>45602</v>
      </c>
      <c r="E36" s="215">
        <v>343954</v>
      </c>
      <c r="F36" s="217">
        <f t="shared" si="3"/>
        <v>145628</v>
      </c>
      <c r="G36" s="21"/>
      <c r="H36" s="21"/>
    </row>
    <row r="37" spans="1:8" ht="15.75" customHeight="1" x14ac:dyDescent="0.25">
      <c r="B37" s="204">
        <f t="shared" si="4"/>
        <v>45261</v>
      </c>
      <c r="C37" s="215">
        <v>395264</v>
      </c>
      <c r="D37" s="216">
        <f t="shared" si="5"/>
        <v>45633</v>
      </c>
      <c r="E37" s="215">
        <v>278831</v>
      </c>
      <c r="F37" s="217">
        <f t="shared" si="3"/>
        <v>116433</v>
      </c>
      <c r="G37" s="21"/>
      <c r="H37" s="21"/>
    </row>
    <row r="38" spans="1:8" ht="16.5" customHeight="1" x14ac:dyDescent="0.25">
      <c r="D38" s="21"/>
      <c r="E38" s="21"/>
      <c r="F38" s="21"/>
      <c r="G38" s="21"/>
      <c r="H38" s="21"/>
    </row>
    <row r="39" spans="1:8" ht="16.5" customHeight="1" x14ac:dyDescent="0.25">
      <c r="B39" s="481" t="s">
        <v>58</v>
      </c>
      <c r="C39" s="481"/>
      <c r="D39" s="481"/>
      <c r="E39" s="481"/>
      <c r="F39" s="481"/>
      <c r="G39" s="21"/>
    </row>
    <row r="40" spans="1:8" ht="16.5" customHeight="1" x14ac:dyDescent="0.25">
      <c r="B40" s="213" t="s">
        <v>36</v>
      </c>
      <c r="C40" s="213" t="s">
        <v>37</v>
      </c>
      <c r="D40" s="213" t="s">
        <v>38</v>
      </c>
      <c r="E40" s="213" t="s">
        <v>37</v>
      </c>
      <c r="F40" s="213" t="s">
        <v>39</v>
      </c>
    </row>
    <row r="41" spans="1:8" ht="16.5" customHeight="1" x14ac:dyDescent="0.25">
      <c r="B41" s="204">
        <f>+B26</f>
        <v>44927</v>
      </c>
      <c r="C41" s="215">
        <v>361019</v>
      </c>
      <c r="D41" s="216">
        <f>+D26</f>
        <v>45292</v>
      </c>
      <c r="E41" s="215">
        <v>246724</v>
      </c>
      <c r="F41" s="217">
        <f t="shared" ref="F41:F52" si="6">IF(C41-E41&lt;=0,"",C41-E41)</f>
        <v>114295</v>
      </c>
      <c r="G41" s="23"/>
    </row>
    <row r="42" spans="1:8" ht="16.5" customHeight="1" x14ac:dyDescent="0.25">
      <c r="B42" s="204">
        <f t="shared" ref="B42:B52" si="7">+B27</f>
        <v>44958</v>
      </c>
      <c r="C42" s="215">
        <v>454689</v>
      </c>
      <c r="D42" s="216">
        <f t="shared" ref="D42:D52" si="8">+D27</f>
        <v>45323</v>
      </c>
      <c r="E42" s="215">
        <v>318356</v>
      </c>
      <c r="F42" s="217">
        <f t="shared" si="6"/>
        <v>136333</v>
      </c>
    </row>
    <row r="43" spans="1:8" ht="16.5" customHeight="1" x14ac:dyDescent="0.25">
      <c r="B43" s="204">
        <f t="shared" si="7"/>
        <v>44986</v>
      </c>
      <c r="C43" s="215">
        <v>480116</v>
      </c>
      <c r="D43" s="216">
        <f t="shared" si="8"/>
        <v>45354</v>
      </c>
      <c r="E43" s="215">
        <v>333802</v>
      </c>
      <c r="F43" s="217">
        <f t="shared" si="6"/>
        <v>146314</v>
      </c>
    </row>
    <row r="44" spans="1:8" ht="16.5" customHeight="1" x14ac:dyDescent="0.25">
      <c r="B44" s="204">
        <f t="shared" si="7"/>
        <v>45017</v>
      </c>
      <c r="C44" s="215">
        <v>516034</v>
      </c>
      <c r="D44" s="216">
        <f t="shared" si="8"/>
        <v>45385</v>
      </c>
      <c r="E44" s="215">
        <v>367428</v>
      </c>
      <c r="F44" s="217">
        <f t="shared" si="6"/>
        <v>148606</v>
      </c>
    </row>
    <row r="45" spans="1:8" ht="16.5" customHeight="1" x14ac:dyDescent="0.25">
      <c r="B45" s="204">
        <f t="shared" si="7"/>
        <v>45047</v>
      </c>
      <c r="C45" s="215">
        <v>342340</v>
      </c>
      <c r="D45" s="216">
        <f t="shared" si="8"/>
        <v>45416</v>
      </c>
      <c r="E45" s="215">
        <v>239823</v>
      </c>
      <c r="F45" s="217">
        <f t="shared" si="6"/>
        <v>102517</v>
      </c>
    </row>
    <row r="46" spans="1:8" ht="16.5" customHeight="1" x14ac:dyDescent="0.25">
      <c r="B46" s="204">
        <f t="shared" si="7"/>
        <v>45078</v>
      </c>
      <c r="C46" s="215">
        <v>500414</v>
      </c>
      <c r="D46" s="216">
        <f t="shared" si="8"/>
        <v>45447</v>
      </c>
      <c r="E46" s="215">
        <v>361423</v>
      </c>
      <c r="F46" s="217">
        <f t="shared" si="6"/>
        <v>138991</v>
      </c>
    </row>
    <row r="47" spans="1:8" ht="16.5" customHeight="1" x14ac:dyDescent="0.25">
      <c r="B47" s="204">
        <f t="shared" si="7"/>
        <v>45108</v>
      </c>
      <c r="C47" s="215">
        <v>385367</v>
      </c>
      <c r="D47" s="216">
        <f t="shared" si="8"/>
        <v>45478</v>
      </c>
      <c r="E47" s="215">
        <v>273337</v>
      </c>
      <c r="F47" s="217">
        <f t="shared" si="6"/>
        <v>112030</v>
      </c>
    </row>
    <row r="48" spans="1:8" ht="16.5" customHeight="1" x14ac:dyDescent="0.25">
      <c r="B48" s="204">
        <f t="shared" si="7"/>
        <v>45139</v>
      </c>
      <c r="C48" s="215">
        <v>541819</v>
      </c>
      <c r="D48" s="216">
        <f t="shared" si="8"/>
        <v>45509</v>
      </c>
      <c r="E48" s="215">
        <v>395781</v>
      </c>
      <c r="F48" s="217">
        <f t="shared" si="6"/>
        <v>146038</v>
      </c>
    </row>
    <row r="49" spans="2:6" ht="16.5" customHeight="1" x14ac:dyDescent="0.25">
      <c r="B49" s="204">
        <f t="shared" si="7"/>
        <v>45170</v>
      </c>
      <c r="C49" s="215">
        <v>469205</v>
      </c>
      <c r="D49" s="216">
        <f t="shared" si="8"/>
        <v>45540</v>
      </c>
      <c r="E49" s="215">
        <v>332285</v>
      </c>
      <c r="F49" s="217">
        <f t="shared" si="6"/>
        <v>136920</v>
      </c>
    </row>
    <row r="50" spans="2:6" ht="16.5" customHeight="1" x14ac:dyDescent="0.25">
      <c r="B50" s="204">
        <f t="shared" si="7"/>
        <v>45200</v>
      </c>
      <c r="C50" s="215">
        <v>447724</v>
      </c>
      <c r="D50" s="216">
        <f t="shared" si="8"/>
        <v>45571</v>
      </c>
      <c r="E50" s="215">
        <v>316394</v>
      </c>
      <c r="F50" s="217">
        <f t="shared" si="6"/>
        <v>131330</v>
      </c>
    </row>
    <row r="51" spans="2:6" ht="16.5" customHeight="1" x14ac:dyDescent="0.25">
      <c r="B51" s="204">
        <f t="shared" si="7"/>
        <v>45231</v>
      </c>
      <c r="C51" s="215">
        <v>629514</v>
      </c>
      <c r="D51" s="216">
        <f t="shared" si="8"/>
        <v>45602</v>
      </c>
      <c r="E51" s="215">
        <v>441469</v>
      </c>
      <c r="F51" s="217">
        <f t="shared" si="6"/>
        <v>188045</v>
      </c>
    </row>
    <row r="52" spans="2:6" ht="16.5" customHeight="1" x14ac:dyDescent="0.25">
      <c r="B52" s="204">
        <f t="shared" si="7"/>
        <v>45261</v>
      </c>
      <c r="C52" s="215">
        <v>547888</v>
      </c>
      <c r="D52" s="216">
        <f t="shared" si="8"/>
        <v>45633</v>
      </c>
      <c r="E52" s="215">
        <v>390080</v>
      </c>
      <c r="F52" s="217">
        <f t="shared" si="6"/>
        <v>157808</v>
      </c>
    </row>
    <row r="53" spans="2:6" ht="16.5" customHeight="1" x14ac:dyDescent="0.25"/>
    <row r="54" spans="2:6" ht="16.5" customHeight="1" x14ac:dyDescent="0.25">
      <c r="B54" s="481" t="s">
        <v>59</v>
      </c>
      <c r="C54" s="481"/>
      <c r="D54" s="481"/>
      <c r="E54" s="481"/>
      <c r="F54" s="481"/>
    </row>
    <row r="55" spans="2:6" ht="16.5" customHeight="1" x14ac:dyDescent="0.25">
      <c r="B55" s="213" t="s">
        <v>36</v>
      </c>
      <c r="C55" s="213" t="s">
        <v>37</v>
      </c>
      <c r="D55" s="213" t="s">
        <v>38</v>
      </c>
      <c r="E55" s="213" t="s">
        <v>37</v>
      </c>
      <c r="F55" s="213" t="s">
        <v>39</v>
      </c>
    </row>
    <row r="56" spans="2:6" ht="16.5" customHeight="1" x14ac:dyDescent="0.25">
      <c r="B56" s="204">
        <f>+B41</f>
        <v>44927</v>
      </c>
      <c r="C56" s="215">
        <v>8426</v>
      </c>
      <c r="D56" s="216">
        <f>+D41</f>
        <v>45292</v>
      </c>
      <c r="E56" s="215">
        <v>5279</v>
      </c>
      <c r="F56" s="217">
        <f t="shared" ref="F56:F67" si="9">IF(C56-E56&lt;=0,"",C56-E56)</f>
        <v>3147</v>
      </c>
    </row>
    <row r="57" spans="2:6" ht="16.5" customHeight="1" x14ac:dyDescent="0.25">
      <c r="B57" s="204">
        <f t="shared" ref="B57:B67" si="10">+B42</f>
        <v>44958</v>
      </c>
      <c r="C57" s="215">
        <v>15788</v>
      </c>
      <c r="D57" s="216">
        <f t="shared" ref="D57:D67" si="11">+D42</f>
        <v>45323</v>
      </c>
      <c r="E57" s="215">
        <v>10632</v>
      </c>
      <c r="F57" s="217">
        <f t="shared" si="9"/>
        <v>5156</v>
      </c>
    </row>
    <row r="58" spans="2:6" ht="16.5" customHeight="1" x14ac:dyDescent="0.25">
      <c r="B58" s="204">
        <f t="shared" si="10"/>
        <v>44986</v>
      </c>
      <c r="C58" s="215">
        <v>16304</v>
      </c>
      <c r="D58" s="216">
        <f t="shared" si="11"/>
        <v>45354</v>
      </c>
      <c r="E58" s="215">
        <v>11334</v>
      </c>
      <c r="F58" s="217">
        <f t="shared" si="9"/>
        <v>4970</v>
      </c>
    </row>
    <row r="59" spans="2:6" ht="16.5" customHeight="1" x14ac:dyDescent="0.25">
      <c r="B59" s="204">
        <f t="shared" si="10"/>
        <v>45017</v>
      </c>
      <c r="C59" s="215">
        <v>13759</v>
      </c>
      <c r="D59" s="216">
        <f t="shared" si="11"/>
        <v>45385</v>
      </c>
      <c r="E59" s="215">
        <v>7104</v>
      </c>
      <c r="F59" s="217">
        <f t="shared" si="9"/>
        <v>6655</v>
      </c>
    </row>
    <row r="60" spans="2:6" ht="16.5" customHeight="1" x14ac:dyDescent="0.25">
      <c r="B60" s="204">
        <f t="shared" si="10"/>
        <v>45047</v>
      </c>
      <c r="C60" s="215">
        <v>16089</v>
      </c>
      <c r="D60" s="216">
        <f t="shared" si="11"/>
        <v>45416</v>
      </c>
      <c r="E60" s="215">
        <v>10632</v>
      </c>
      <c r="F60" s="217">
        <f t="shared" si="9"/>
        <v>5457</v>
      </c>
    </row>
    <row r="61" spans="2:6" ht="16.5" customHeight="1" x14ac:dyDescent="0.25">
      <c r="B61" s="204">
        <f t="shared" si="10"/>
        <v>45078</v>
      </c>
      <c r="C61" s="215">
        <v>19367</v>
      </c>
      <c r="D61" s="216">
        <f t="shared" si="11"/>
        <v>45447</v>
      </c>
      <c r="E61" s="215">
        <v>13416</v>
      </c>
      <c r="F61" s="217">
        <f t="shared" si="9"/>
        <v>5951</v>
      </c>
    </row>
    <row r="62" spans="2:6" ht="16.5" customHeight="1" x14ac:dyDescent="0.25">
      <c r="B62" s="204">
        <f t="shared" si="10"/>
        <v>45108</v>
      </c>
      <c r="C62" s="215">
        <v>19864</v>
      </c>
      <c r="D62" s="216">
        <f t="shared" si="11"/>
        <v>45478</v>
      </c>
      <c r="E62" s="215">
        <v>11059</v>
      </c>
      <c r="F62" s="217">
        <f t="shared" si="9"/>
        <v>8805</v>
      </c>
    </row>
    <row r="63" spans="2:6" ht="16.5" customHeight="1" x14ac:dyDescent="0.25">
      <c r="B63" s="204">
        <f t="shared" si="10"/>
        <v>45139</v>
      </c>
      <c r="C63" s="215">
        <v>18980</v>
      </c>
      <c r="D63" s="216">
        <f t="shared" si="11"/>
        <v>45509</v>
      </c>
      <c r="E63" s="215">
        <v>13024</v>
      </c>
      <c r="F63" s="217">
        <f t="shared" si="9"/>
        <v>5956</v>
      </c>
    </row>
    <row r="64" spans="2:6" ht="16.5" customHeight="1" x14ac:dyDescent="0.25">
      <c r="B64" s="204">
        <f t="shared" si="10"/>
        <v>45170</v>
      </c>
      <c r="C64" s="215">
        <v>12948</v>
      </c>
      <c r="D64" s="216">
        <f t="shared" si="11"/>
        <v>45540</v>
      </c>
      <c r="E64" s="215">
        <v>8338</v>
      </c>
      <c r="F64" s="217">
        <f t="shared" si="9"/>
        <v>4610</v>
      </c>
    </row>
    <row r="65" spans="2:6" ht="16.5" customHeight="1" x14ac:dyDescent="0.25">
      <c r="B65" s="204">
        <f t="shared" si="10"/>
        <v>45200</v>
      </c>
      <c r="C65" s="215">
        <v>12236</v>
      </c>
      <c r="D65" s="216">
        <f t="shared" si="11"/>
        <v>45571</v>
      </c>
      <c r="E65" s="215">
        <v>7858</v>
      </c>
      <c r="F65" s="217">
        <f t="shared" si="9"/>
        <v>4378</v>
      </c>
    </row>
    <row r="66" spans="2:6" ht="16.5" customHeight="1" x14ac:dyDescent="0.25">
      <c r="B66" s="204">
        <f t="shared" si="10"/>
        <v>45231</v>
      </c>
      <c r="C66" s="215">
        <v>16480</v>
      </c>
      <c r="D66" s="216">
        <f t="shared" si="11"/>
        <v>45602</v>
      </c>
      <c r="E66" s="215">
        <v>9979</v>
      </c>
      <c r="F66" s="217">
        <f t="shared" si="9"/>
        <v>6501</v>
      </c>
    </row>
    <row r="67" spans="2:6" ht="16.5" customHeight="1" x14ac:dyDescent="0.25">
      <c r="B67" s="204">
        <f t="shared" si="10"/>
        <v>45261</v>
      </c>
      <c r="C67" s="215">
        <v>19243</v>
      </c>
      <c r="D67" s="216">
        <f t="shared" si="11"/>
        <v>45633</v>
      </c>
      <c r="E67" s="215">
        <v>13758</v>
      </c>
      <c r="F67" s="217">
        <f t="shared" si="9"/>
        <v>5485</v>
      </c>
    </row>
    <row r="68" spans="2:6" ht="16.5" customHeight="1" x14ac:dyDescent="0.25"/>
    <row r="69" spans="2:6" ht="16.5" customHeight="1" x14ac:dyDescent="0.25"/>
  </sheetData>
  <mergeCells count="16">
    <mergeCell ref="B39:F39"/>
    <mergeCell ref="B54:F54"/>
    <mergeCell ref="B9:F9"/>
    <mergeCell ref="H16:J16"/>
    <mergeCell ref="H11:J11"/>
    <mergeCell ref="H12:J12"/>
    <mergeCell ref="H13:J13"/>
    <mergeCell ref="H14:J14"/>
    <mergeCell ref="H9:N9"/>
    <mergeCell ref="H10:J10"/>
    <mergeCell ref="B24:F24"/>
    <mergeCell ref="H15:J15"/>
    <mergeCell ref="H20:J20"/>
    <mergeCell ref="H21:J21"/>
    <mergeCell ref="H19:J19"/>
    <mergeCell ref="H22:J22"/>
  </mergeCells>
  <phoneticPr fontId="31" type="noConversion"/>
  <hyperlinks>
    <hyperlink ref="H17" r:id="rId1" xr:uid="{AF65CAB3-7987-4AA6-9AFB-58488DC90632}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7">
    <tabColor theme="3" tint="0.79998168889431442"/>
    <pageSetUpPr fitToPage="1"/>
  </sheetPr>
  <dimension ref="A1:T135"/>
  <sheetViews>
    <sheetView showGridLines="0" zoomScale="80" zoomScaleNormal="80" workbookViewId="0"/>
  </sheetViews>
  <sheetFormatPr defaultColWidth="0" defaultRowHeight="15" zeroHeight="1" x14ac:dyDescent="0.25"/>
  <cols>
    <col min="1" max="1" width="5.7109375" style="29" customWidth="1"/>
    <col min="2" max="2" width="27.85546875" style="29" bestFit="1" customWidth="1"/>
    <col min="3" max="3" width="8.28515625" style="29" customWidth="1"/>
    <col min="4" max="4" width="20.42578125" style="29" customWidth="1"/>
    <col min="5" max="15" width="13.7109375" style="29" customWidth="1"/>
    <col min="16" max="16" width="16.140625" style="29" customWidth="1"/>
    <col min="17" max="17" width="10.85546875" style="29" customWidth="1"/>
    <col min="18" max="18" width="10.7109375" style="29" customWidth="1"/>
    <col min="19" max="19" width="10.28515625" style="29" customWidth="1"/>
    <col min="20" max="20" width="8.7109375" style="29" hidden="1" customWidth="1"/>
    <col min="21" max="16384" width="8.85546875" style="29" hidden="1"/>
  </cols>
  <sheetData>
    <row r="1" spans="1:20" ht="3" customHeight="1" x14ac:dyDescent="0.25"/>
    <row r="2" spans="1:20" ht="14.25" customHeight="1" x14ac:dyDescent="0.25">
      <c r="J2" s="90"/>
      <c r="K2" s="90"/>
      <c r="L2" s="90"/>
      <c r="M2" s="90"/>
      <c r="N2" s="90"/>
      <c r="O2" s="90"/>
    </row>
    <row r="3" spans="1:20" x14ac:dyDescent="0.25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</row>
    <row r="4" spans="1:20" ht="15" customHeight="1" x14ac:dyDescent="0.25">
      <c r="A4" s="126"/>
      <c r="B4" s="126"/>
      <c r="C4" s="126"/>
      <c r="D4" s="126"/>
      <c r="E4" s="126"/>
      <c r="F4" s="127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</row>
    <row r="5" spans="1:20" ht="20.100000000000001" customHeight="1" x14ac:dyDescent="0.25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</row>
    <row r="6" spans="1:20" x14ac:dyDescent="0.25"/>
    <row r="7" spans="1:20" x14ac:dyDescent="0.25"/>
    <row r="8" spans="1:20" ht="18" x14ac:dyDescent="0.25">
      <c r="B8" s="481" t="s">
        <v>60</v>
      </c>
      <c r="C8" s="481"/>
      <c r="D8" s="481"/>
      <c r="E8" s="481"/>
      <c r="F8" s="481"/>
      <c r="G8" s="481"/>
      <c r="H8" s="481"/>
      <c r="I8" s="481"/>
      <c r="J8" s="481"/>
      <c r="K8" s="481"/>
      <c r="L8" s="481"/>
      <c r="M8" s="481"/>
      <c r="N8" s="481"/>
      <c r="O8" s="481"/>
      <c r="P8" s="481"/>
    </row>
    <row r="9" spans="1:20" x14ac:dyDescent="0.25">
      <c r="B9" s="510"/>
      <c r="C9" s="510"/>
      <c r="D9" s="244">
        <v>45292</v>
      </c>
      <c r="E9" s="244">
        <v>45323</v>
      </c>
      <c r="F9" s="244">
        <v>45352</v>
      </c>
      <c r="G9" s="244">
        <v>45383</v>
      </c>
      <c r="H9" s="244">
        <v>45413</v>
      </c>
      <c r="I9" s="244">
        <v>45444</v>
      </c>
      <c r="J9" s="244">
        <v>45474</v>
      </c>
      <c r="K9" s="244">
        <v>45505</v>
      </c>
      <c r="L9" s="244">
        <v>45536</v>
      </c>
      <c r="M9" s="244">
        <v>45566</v>
      </c>
      <c r="N9" s="244">
        <v>45597</v>
      </c>
      <c r="O9" s="244">
        <v>45627</v>
      </c>
      <c r="P9" s="244" t="s">
        <v>61</v>
      </c>
    </row>
    <row r="10" spans="1:20" x14ac:dyDescent="0.25">
      <c r="B10" s="511" t="s">
        <v>62</v>
      </c>
      <c r="C10" s="511"/>
      <c r="D10" s="248">
        <v>22222882</v>
      </c>
      <c r="E10" s="248">
        <v>20611397.296</v>
      </c>
      <c r="F10" s="248">
        <v>22977498</v>
      </c>
      <c r="G10" s="248">
        <v>22350680.888999999</v>
      </c>
      <c r="H10" s="248">
        <v>23201709.390000001</v>
      </c>
      <c r="I10" s="248">
        <v>22340871.699999999</v>
      </c>
      <c r="J10" s="248">
        <v>23005451.690000001</v>
      </c>
      <c r="K10" s="248">
        <v>23720613.399999999</v>
      </c>
      <c r="L10" s="248">
        <v>23962599.140000001</v>
      </c>
      <c r="M10" s="248">
        <v>23688141</v>
      </c>
      <c r="N10" s="248">
        <v>22008705</v>
      </c>
      <c r="O10" s="248">
        <v>22826038</v>
      </c>
      <c r="P10" s="253">
        <f>SUM(D10:O10)</f>
        <v>272916587.505</v>
      </c>
    </row>
    <row r="11" spans="1:20" x14ac:dyDescent="0.25">
      <c r="B11" s="511" t="s">
        <v>63</v>
      </c>
      <c r="C11" s="511"/>
      <c r="D11" s="248">
        <v>13342810.240000002</v>
      </c>
      <c r="E11" s="248">
        <v>12393891.900000002</v>
      </c>
      <c r="F11" s="248">
        <v>12762690.02</v>
      </c>
      <c r="G11" s="248">
        <v>12069386.84</v>
      </c>
      <c r="H11" s="248">
        <v>11130660.9</v>
      </c>
      <c r="I11" s="248">
        <v>10539767.279999999</v>
      </c>
      <c r="J11" s="248">
        <v>10002834.9</v>
      </c>
      <c r="K11" s="248">
        <v>10253989.060000001</v>
      </c>
      <c r="L11" s="248">
        <v>9985349.4000000004</v>
      </c>
      <c r="M11" s="248">
        <v>10827533.859999999</v>
      </c>
      <c r="N11" s="248">
        <v>12091739.699999999</v>
      </c>
      <c r="O11" s="248">
        <v>12191906.380000003</v>
      </c>
      <c r="P11" s="253">
        <f>SUM(D11:O11)</f>
        <v>137592560.48000002</v>
      </c>
    </row>
    <row r="12" spans="1:20" x14ac:dyDescent="0.25">
      <c r="B12" s="508" t="s">
        <v>64</v>
      </c>
      <c r="C12" s="508"/>
      <c r="D12" s="250">
        <f>SUM(D10:D11)</f>
        <v>35565692.240000002</v>
      </c>
      <c r="E12" s="250">
        <f t="shared" ref="E12:O12" si="0">SUM(E10:E11)</f>
        <v>33005289.196000002</v>
      </c>
      <c r="F12" s="250">
        <f t="shared" si="0"/>
        <v>35740188.019999996</v>
      </c>
      <c r="G12" s="250">
        <f t="shared" si="0"/>
        <v>34420067.729000002</v>
      </c>
      <c r="H12" s="250">
        <f t="shared" si="0"/>
        <v>34332370.289999999</v>
      </c>
      <c r="I12" s="250">
        <f t="shared" si="0"/>
        <v>32880638.979999997</v>
      </c>
      <c r="J12" s="250">
        <f t="shared" si="0"/>
        <v>33008286.590000004</v>
      </c>
      <c r="K12" s="250">
        <f t="shared" si="0"/>
        <v>33974602.460000001</v>
      </c>
      <c r="L12" s="250">
        <f t="shared" si="0"/>
        <v>33947948.539999999</v>
      </c>
      <c r="M12" s="250">
        <f t="shared" si="0"/>
        <v>34515674.859999999</v>
      </c>
      <c r="N12" s="250">
        <f t="shared" si="0"/>
        <v>34100444.700000003</v>
      </c>
      <c r="O12" s="250">
        <f t="shared" si="0"/>
        <v>35017944.380000003</v>
      </c>
      <c r="P12" s="250">
        <f>SUM(P10:P11)</f>
        <v>410509147.98500001</v>
      </c>
    </row>
    <row r="13" spans="1:20" x14ac:dyDescent="0.25">
      <c r="B13" s="95" t="s">
        <v>24</v>
      </c>
      <c r="C13" s="91"/>
      <c r="D13" s="176"/>
      <c r="E13" s="173"/>
      <c r="F13" s="176"/>
      <c r="G13" s="176"/>
      <c r="H13" s="176"/>
      <c r="I13" s="176"/>
      <c r="J13" s="176"/>
      <c r="K13" s="176"/>
      <c r="L13" s="176"/>
      <c r="M13" s="173"/>
      <c r="N13" s="173"/>
      <c r="O13" s="173"/>
      <c r="P13" s="174"/>
    </row>
    <row r="14" spans="1:20" ht="16.5" customHeight="1" x14ac:dyDescent="0.25">
      <c r="D14" s="173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3"/>
      <c r="P14" s="173"/>
      <c r="Q14" s="86"/>
    </row>
    <row r="15" spans="1:20" x14ac:dyDescent="0.25">
      <c r="B15" s="91"/>
      <c r="C15" s="91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</row>
    <row r="16" spans="1:20" ht="18" x14ac:dyDescent="0.25">
      <c r="B16" s="481" t="s">
        <v>65</v>
      </c>
      <c r="C16" s="481"/>
      <c r="D16" s="481"/>
      <c r="E16" s="481"/>
      <c r="F16" s="481"/>
      <c r="G16" s="481"/>
      <c r="H16" s="481"/>
      <c r="I16" s="481"/>
      <c r="J16" s="481"/>
      <c r="K16" s="481"/>
      <c r="L16" s="481"/>
      <c r="M16" s="481"/>
      <c r="N16" s="481"/>
      <c r="O16" s="481"/>
      <c r="P16" s="481"/>
    </row>
    <row r="17" spans="2:17" x14ac:dyDescent="0.25">
      <c r="B17" s="510" t="s">
        <v>66</v>
      </c>
      <c r="C17" s="510" t="s">
        <v>67</v>
      </c>
      <c r="D17" s="244">
        <v>45292</v>
      </c>
      <c r="E17" s="244">
        <v>45323</v>
      </c>
      <c r="F17" s="244">
        <v>45352</v>
      </c>
      <c r="G17" s="244">
        <v>45383</v>
      </c>
      <c r="H17" s="244">
        <v>45413</v>
      </c>
      <c r="I17" s="244">
        <v>45444</v>
      </c>
      <c r="J17" s="244">
        <v>45474</v>
      </c>
      <c r="K17" s="244">
        <v>45505</v>
      </c>
      <c r="L17" s="244">
        <v>45536</v>
      </c>
      <c r="M17" s="244">
        <v>45566</v>
      </c>
      <c r="N17" s="244">
        <v>45597</v>
      </c>
      <c r="O17" s="244">
        <v>45627</v>
      </c>
      <c r="P17" s="244" t="s">
        <v>64</v>
      </c>
    </row>
    <row r="18" spans="2:17" x14ac:dyDescent="0.25">
      <c r="B18" s="507" t="s">
        <v>68</v>
      </c>
      <c r="C18" s="245" t="s">
        <v>69</v>
      </c>
      <c r="D18" s="248">
        <v>1595525</v>
      </c>
      <c r="E18" s="248">
        <v>1692888</v>
      </c>
      <c r="F18" s="248">
        <v>1639665</v>
      </c>
      <c r="G18" s="248">
        <v>1669066</v>
      </c>
      <c r="H18" s="248">
        <v>1527059</v>
      </c>
      <c r="I18" s="248">
        <v>1597375</v>
      </c>
      <c r="J18" s="248">
        <v>1610512</v>
      </c>
      <c r="K18" s="248">
        <v>1690514</v>
      </c>
      <c r="L18" s="248">
        <v>1454884</v>
      </c>
      <c r="M18" s="248">
        <v>1478675</v>
      </c>
      <c r="N18" s="248">
        <v>1702121</v>
      </c>
      <c r="O18" s="248">
        <v>1689061</v>
      </c>
      <c r="P18" s="249">
        <f>SUM(D18:O18)</f>
        <v>19347345</v>
      </c>
    </row>
    <row r="19" spans="2:17" x14ac:dyDescent="0.25">
      <c r="B19" s="507"/>
      <c r="C19" s="245" t="s">
        <v>70</v>
      </c>
      <c r="D19" s="248">
        <v>4069454</v>
      </c>
      <c r="E19" s="248">
        <v>4050322</v>
      </c>
      <c r="F19" s="248">
        <v>4074245</v>
      </c>
      <c r="G19" s="248">
        <v>4061883</v>
      </c>
      <c r="H19" s="248">
        <v>4074165</v>
      </c>
      <c r="I19" s="248">
        <v>4048454</v>
      </c>
      <c r="J19" s="248">
        <v>4069682</v>
      </c>
      <c r="K19" s="248">
        <v>4028569</v>
      </c>
      <c r="L19" s="248">
        <v>4111477</v>
      </c>
      <c r="M19" s="248">
        <v>4026717</v>
      </c>
      <c r="N19" s="248">
        <v>4104894</v>
      </c>
      <c r="O19" s="248">
        <v>4027774</v>
      </c>
      <c r="P19" s="249">
        <f t="shared" ref="P19:P23" si="1">SUM(D19:O19)</f>
        <v>48747636</v>
      </c>
    </row>
    <row r="20" spans="2:17" x14ac:dyDescent="0.25">
      <c r="B20" s="507"/>
      <c r="C20" s="245" t="s">
        <v>71</v>
      </c>
      <c r="D20" s="248">
        <v>2880855</v>
      </c>
      <c r="E20" s="248">
        <v>2713043</v>
      </c>
      <c r="F20" s="248">
        <v>2881977</v>
      </c>
      <c r="G20" s="248">
        <v>2866985</v>
      </c>
      <c r="H20" s="248">
        <v>3184455</v>
      </c>
      <c r="I20" s="248">
        <v>3067644</v>
      </c>
      <c r="J20" s="248">
        <v>3023925</v>
      </c>
      <c r="K20" s="248">
        <v>2927460</v>
      </c>
      <c r="L20" s="248">
        <v>3469944</v>
      </c>
      <c r="M20" s="248">
        <v>3396426</v>
      </c>
      <c r="N20" s="248">
        <v>2968473</v>
      </c>
      <c r="O20" s="248">
        <v>2776897</v>
      </c>
      <c r="P20" s="249">
        <f t="shared" si="1"/>
        <v>36158084</v>
      </c>
      <c r="Q20" s="93"/>
    </row>
    <row r="21" spans="2:17" x14ac:dyDescent="0.25">
      <c r="B21" s="507"/>
      <c r="C21" s="245" t="s">
        <v>72</v>
      </c>
      <c r="D21" s="248">
        <v>1353544</v>
      </c>
      <c r="E21" s="248">
        <v>1197945</v>
      </c>
      <c r="F21" s="248">
        <v>1321803</v>
      </c>
      <c r="G21" s="248">
        <v>1307641</v>
      </c>
      <c r="H21" s="248">
        <v>1614601</v>
      </c>
      <c r="I21" s="248">
        <v>1548547</v>
      </c>
      <c r="J21" s="248">
        <v>1564264</v>
      </c>
      <c r="K21" s="248">
        <v>1408989</v>
      </c>
      <c r="L21" s="248">
        <v>1895578</v>
      </c>
      <c r="M21" s="248">
        <v>1815480</v>
      </c>
      <c r="N21" s="248">
        <v>1345042</v>
      </c>
      <c r="O21" s="248">
        <v>1250682</v>
      </c>
      <c r="P21" s="249">
        <f t="shared" si="1"/>
        <v>17624116</v>
      </c>
    </row>
    <row r="22" spans="2:17" x14ac:dyDescent="0.25">
      <c r="B22" s="507"/>
      <c r="C22" s="245" t="s">
        <v>73</v>
      </c>
      <c r="D22" s="248">
        <v>518140</v>
      </c>
      <c r="E22" s="248">
        <v>427249</v>
      </c>
      <c r="F22" s="248">
        <v>469921</v>
      </c>
      <c r="G22" s="248">
        <v>462118</v>
      </c>
      <c r="H22" s="248">
        <v>622207</v>
      </c>
      <c r="I22" s="248">
        <v>626527</v>
      </c>
      <c r="J22" s="248">
        <v>645140</v>
      </c>
      <c r="K22" s="248">
        <v>623011</v>
      </c>
      <c r="L22" s="248">
        <v>782665</v>
      </c>
      <c r="M22" s="248">
        <v>802076</v>
      </c>
      <c r="N22" s="248">
        <v>486753</v>
      </c>
      <c r="O22" s="248">
        <v>449581</v>
      </c>
      <c r="P22" s="249">
        <f t="shared" si="1"/>
        <v>6915388</v>
      </c>
    </row>
    <row r="23" spans="2:17" x14ac:dyDescent="0.25">
      <c r="B23" s="507"/>
      <c r="C23" s="245" t="s">
        <v>74</v>
      </c>
      <c r="D23" s="248">
        <v>417521</v>
      </c>
      <c r="E23" s="248">
        <v>389179</v>
      </c>
      <c r="F23" s="248">
        <v>390122</v>
      </c>
      <c r="G23" s="248">
        <v>393102</v>
      </c>
      <c r="H23" s="248">
        <v>523721</v>
      </c>
      <c r="I23" s="248">
        <v>549592</v>
      </c>
      <c r="J23" s="248">
        <v>557283</v>
      </c>
      <c r="K23" s="248">
        <v>588075</v>
      </c>
      <c r="L23" s="248">
        <v>681506</v>
      </c>
      <c r="M23" s="248">
        <v>676477</v>
      </c>
      <c r="N23" s="248">
        <v>424226</v>
      </c>
      <c r="O23" s="248">
        <v>384357</v>
      </c>
      <c r="P23" s="249">
        <f t="shared" si="1"/>
        <v>5975161</v>
      </c>
    </row>
    <row r="24" spans="2:17" x14ac:dyDescent="0.25">
      <c r="B24" s="508" t="s">
        <v>75</v>
      </c>
      <c r="C24" s="508"/>
      <c r="D24" s="250">
        <f xml:space="preserve"> SUM(D18:D23)</f>
        <v>10835039</v>
      </c>
      <c r="E24" s="250">
        <f t="shared" ref="E24:O24" si="2" xml:space="preserve"> SUM(E18:E23)</f>
        <v>10470626</v>
      </c>
      <c r="F24" s="250">
        <f t="shared" si="2"/>
        <v>10777733</v>
      </c>
      <c r="G24" s="250">
        <f t="shared" si="2"/>
        <v>10760795</v>
      </c>
      <c r="H24" s="250">
        <f t="shared" si="2"/>
        <v>11546208</v>
      </c>
      <c r="I24" s="250">
        <f t="shared" si="2"/>
        <v>11438139</v>
      </c>
      <c r="J24" s="250">
        <f t="shared" si="2"/>
        <v>11470806</v>
      </c>
      <c r="K24" s="250">
        <f t="shared" si="2"/>
        <v>11266618</v>
      </c>
      <c r="L24" s="250">
        <f t="shared" si="2"/>
        <v>12396054</v>
      </c>
      <c r="M24" s="250">
        <f t="shared" si="2"/>
        <v>12195851</v>
      </c>
      <c r="N24" s="250">
        <f t="shared" si="2"/>
        <v>11031509</v>
      </c>
      <c r="O24" s="250">
        <f t="shared" si="2"/>
        <v>10578352</v>
      </c>
      <c r="P24" s="247">
        <f>SUM(D24:O24)</f>
        <v>134767730</v>
      </c>
    </row>
    <row r="25" spans="2:17" x14ac:dyDescent="0.25">
      <c r="B25" s="507" t="s">
        <v>76</v>
      </c>
      <c r="C25" s="245" t="s">
        <v>69</v>
      </c>
      <c r="D25" s="248">
        <v>57395</v>
      </c>
      <c r="E25" s="248">
        <v>64153</v>
      </c>
      <c r="F25" s="248">
        <v>56681</v>
      </c>
      <c r="G25" s="248">
        <v>54204</v>
      </c>
      <c r="H25" s="248">
        <v>50880</v>
      </c>
      <c r="I25" s="248">
        <v>52737</v>
      </c>
      <c r="J25" s="248">
        <v>51968</v>
      </c>
      <c r="K25" s="248">
        <v>51643</v>
      </c>
      <c r="L25" s="248">
        <v>43547</v>
      </c>
      <c r="M25" s="248">
        <v>45537</v>
      </c>
      <c r="N25" s="248">
        <v>50277</v>
      </c>
      <c r="O25" s="248">
        <v>92927</v>
      </c>
      <c r="P25" s="249">
        <f>SUM(D25:O25)</f>
        <v>671949</v>
      </c>
    </row>
    <row r="26" spans="2:17" x14ac:dyDescent="0.25">
      <c r="B26" s="507"/>
      <c r="C26" s="245" t="s">
        <v>70</v>
      </c>
      <c r="D26" s="248">
        <v>155208</v>
      </c>
      <c r="E26" s="248">
        <v>148722</v>
      </c>
      <c r="F26" s="248">
        <v>153893</v>
      </c>
      <c r="G26" s="248">
        <v>145152</v>
      </c>
      <c r="H26" s="248">
        <v>147406</v>
      </c>
      <c r="I26" s="248">
        <v>148222</v>
      </c>
      <c r="J26" s="248">
        <v>134011</v>
      </c>
      <c r="K26" s="248">
        <v>139013</v>
      </c>
      <c r="L26" s="248">
        <v>128694</v>
      </c>
      <c r="M26" s="248">
        <v>137281</v>
      </c>
      <c r="N26" s="248">
        <v>136685</v>
      </c>
      <c r="O26" s="248">
        <v>233905</v>
      </c>
      <c r="P26" s="249">
        <f t="shared" ref="P26:P29" si="3">SUM(D26:O26)</f>
        <v>1808192</v>
      </c>
    </row>
    <row r="27" spans="2:17" x14ac:dyDescent="0.25">
      <c r="B27" s="507"/>
      <c r="C27" s="245" t="s">
        <v>71</v>
      </c>
      <c r="D27" s="248">
        <v>123499</v>
      </c>
      <c r="E27" s="248">
        <v>113202</v>
      </c>
      <c r="F27" s="248">
        <v>121177</v>
      </c>
      <c r="G27" s="248">
        <v>113508</v>
      </c>
      <c r="H27" s="248">
        <v>121682</v>
      </c>
      <c r="I27" s="248">
        <v>117990</v>
      </c>
      <c r="J27" s="248">
        <v>109980</v>
      </c>
      <c r="K27" s="248">
        <v>106775</v>
      </c>
      <c r="L27" s="248">
        <v>122577</v>
      </c>
      <c r="M27" s="248">
        <v>126629</v>
      </c>
      <c r="N27" s="248">
        <v>106963</v>
      </c>
      <c r="O27" s="248">
        <v>173550</v>
      </c>
      <c r="P27" s="249">
        <f t="shared" si="3"/>
        <v>1457532</v>
      </c>
    </row>
    <row r="28" spans="2:17" x14ac:dyDescent="0.25">
      <c r="B28" s="507"/>
      <c r="C28" s="245" t="s">
        <v>72</v>
      </c>
      <c r="D28" s="248">
        <v>68874</v>
      </c>
      <c r="E28" s="248">
        <v>55996</v>
      </c>
      <c r="F28" s="248">
        <v>58211</v>
      </c>
      <c r="G28" s="248">
        <v>56846</v>
      </c>
      <c r="H28" s="248">
        <v>66915</v>
      </c>
      <c r="I28" s="248">
        <v>62681</v>
      </c>
      <c r="J28" s="248">
        <v>56764</v>
      </c>
      <c r="K28" s="248">
        <v>55244</v>
      </c>
      <c r="L28" s="248">
        <v>76046</v>
      </c>
      <c r="M28" s="248">
        <v>73302</v>
      </c>
      <c r="N28" s="248">
        <v>55566</v>
      </c>
      <c r="O28" s="248">
        <v>84185</v>
      </c>
      <c r="P28" s="249">
        <f t="shared" si="3"/>
        <v>770630</v>
      </c>
    </row>
    <row r="29" spans="2:17" x14ac:dyDescent="0.25">
      <c r="B29" s="507"/>
      <c r="C29" s="245" t="s">
        <v>73</v>
      </c>
      <c r="D29" s="248">
        <v>22574</v>
      </c>
      <c r="E29" s="248">
        <v>16871</v>
      </c>
      <c r="F29" s="248">
        <v>17281</v>
      </c>
      <c r="G29" s="248">
        <v>14213</v>
      </c>
      <c r="H29" s="248">
        <v>18556</v>
      </c>
      <c r="I29" s="248">
        <v>17677</v>
      </c>
      <c r="J29" s="248">
        <v>15858</v>
      </c>
      <c r="K29" s="248">
        <v>13836</v>
      </c>
      <c r="L29" s="248">
        <v>23222</v>
      </c>
      <c r="M29" s="248">
        <v>20264</v>
      </c>
      <c r="N29" s="248">
        <v>15057</v>
      </c>
      <c r="O29" s="248">
        <v>23579</v>
      </c>
      <c r="P29" s="249">
        <f t="shared" si="3"/>
        <v>218988</v>
      </c>
    </row>
    <row r="30" spans="2:17" x14ac:dyDescent="0.25">
      <c r="B30" s="507"/>
      <c r="C30" s="245" t="s">
        <v>74</v>
      </c>
      <c r="D30" s="248">
        <v>17648</v>
      </c>
      <c r="E30" s="248">
        <v>15731</v>
      </c>
      <c r="F30" s="248">
        <v>13831</v>
      </c>
      <c r="G30" s="248">
        <v>12899</v>
      </c>
      <c r="H30" s="248">
        <v>12098</v>
      </c>
      <c r="I30" s="248">
        <v>12742</v>
      </c>
      <c r="J30" s="248">
        <v>11252</v>
      </c>
      <c r="K30" s="248">
        <v>10289</v>
      </c>
      <c r="L30" s="248">
        <v>14281</v>
      </c>
      <c r="M30" s="248">
        <v>15101</v>
      </c>
      <c r="N30" s="248">
        <v>14440</v>
      </c>
      <c r="O30" s="248">
        <v>20939</v>
      </c>
      <c r="P30" s="249">
        <f t="shared" ref="P30:P38" si="4">SUM(D30:O30)</f>
        <v>171251</v>
      </c>
    </row>
    <row r="31" spans="2:17" ht="14.25" customHeight="1" x14ac:dyDescent="0.25">
      <c r="B31" s="508" t="s">
        <v>75</v>
      </c>
      <c r="C31" s="508"/>
      <c r="D31" s="250">
        <f t="shared" ref="D31" si="5">SUM(D25:D30)</f>
        <v>445198</v>
      </c>
      <c r="E31" s="250">
        <f t="shared" ref="E31:O31" si="6">SUM(E25:E30)</f>
        <v>414675</v>
      </c>
      <c r="F31" s="250">
        <f t="shared" si="6"/>
        <v>421074</v>
      </c>
      <c r="G31" s="250">
        <f t="shared" si="6"/>
        <v>396822</v>
      </c>
      <c r="H31" s="250">
        <f t="shared" si="6"/>
        <v>417537</v>
      </c>
      <c r="I31" s="250">
        <f t="shared" si="6"/>
        <v>412049</v>
      </c>
      <c r="J31" s="250">
        <f t="shared" si="6"/>
        <v>379833</v>
      </c>
      <c r="K31" s="250">
        <f t="shared" si="6"/>
        <v>376800</v>
      </c>
      <c r="L31" s="250">
        <f t="shared" si="6"/>
        <v>408367</v>
      </c>
      <c r="M31" s="250">
        <f t="shared" si="6"/>
        <v>418114</v>
      </c>
      <c r="N31" s="250">
        <f t="shared" si="6"/>
        <v>378988</v>
      </c>
      <c r="O31" s="250">
        <f t="shared" si="6"/>
        <v>629085</v>
      </c>
      <c r="P31" s="247">
        <f t="shared" si="4"/>
        <v>5098542</v>
      </c>
    </row>
    <row r="32" spans="2:17" x14ac:dyDescent="0.25">
      <c r="B32" s="509" t="s">
        <v>42</v>
      </c>
      <c r="C32" s="245" t="s">
        <v>77</v>
      </c>
      <c r="D32" s="248">
        <v>43881</v>
      </c>
      <c r="E32" s="248">
        <v>45455</v>
      </c>
      <c r="F32" s="248">
        <v>45047</v>
      </c>
      <c r="G32" s="248">
        <v>44657</v>
      </c>
      <c r="H32" s="248">
        <v>43919</v>
      </c>
      <c r="I32" s="248">
        <v>44243</v>
      </c>
      <c r="J32" s="248">
        <v>43972</v>
      </c>
      <c r="K32" s="248">
        <v>44782</v>
      </c>
      <c r="L32" s="248">
        <v>40466</v>
      </c>
      <c r="M32" s="248">
        <v>43892</v>
      </c>
      <c r="N32" s="248">
        <v>45370</v>
      </c>
      <c r="O32" s="248">
        <v>45536</v>
      </c>
      <c r="P32" s="251">
        <f t="shared" si="4"/>
        <v>531220</v>
      </c>
    </row>
    <row r="33" spans="2:20" x14ac:dyDescent="0.25">
      <c r="B33" s="509"/>
      <c r="C33" s="245" t="s">
        <v>78</v>
      </c>
      <c r="D33" s="248">
        <v>46136</v>
      </c>
      <c r="E33" s="248">
        <v>46181</v>
      </c>
      <c r="F33" s="248">
        <v>45960</v>
      </c>
      <c r="G33" s="248">
        <v>46648</v>
      </c>
      <c r="H33" s="248">
        <v>46614</v>
      </c>
      <c r="I33" s="248">
        <v>46637</v>
      </c>
      <c r="J33" s="248">
        <v>46920</v>
      </c>
      <c r="K33" s="248">
        <v>47689</v>
      </c>
      <c r="L33" s="248">
        <v>44344</v>
      </c>
      <c r="M33" s="248">
        <v>47334</v>
      </c>
      <c r="N33" s="248">
        <v>47436</v>
      </c>
      <c r="O33" s="248">
        <v>48074</v>
      </c>
      <c r="P33" s="251">
        <f t="shared" si="4"/>
        <v>559973</v>
      </c>
      <c r="T33" s="190"/>
    </row>
    <row r="34" spans="2:20" x14ac:dyDescent="0.25">
      <c r="B34" s="509"/>
      <c r="C34" s="245" t="s">
        <v>79</v>
      </c>
      <c r="D34" s="248">
        <v>45384</v>
      </c>
      <c r="E34" s="248">
        <v>44909</v>
      </c>
      <c r="F34" s="248">
        <v>44405</v>
      </c>
      <c r="G34" s="248">
        <v>44555</v>
      </c>
      <c r="H34" s="248">
        <v>45237</v>
      </c>
      <c r="I34" s="248">
        <v>45886</v>
      </c>
      <c r="J34" s="248">
        <v>46789</v>
      </c>
      <c r="K34" s="248">
        <v>46908</v>
      </c>
      <c r="L34" s="248">
        <v>43053</v>
      </c>
      <c r="M34" s="248">
        <v>47005</v>
      </c>
      <c r="N34" s="248">
        <v>45761</v>
      </c>
      <c r="O34" s="248">
        <v>46172</v>
      </c>
      <c r="P34" s="251">
        <f t="shared" si="4"/>
        <v>546064</v>
      </c>
    </row>
    <row r="35" spans="2:20" x14ac:dyDescent="0.25">
      <c r="B35" s="509"/>
      <c r="C35" s="245" t="s">
        <v>80</v>
      </c>
      <c r="D35" s="248">
        <v>245196</v>
      </c>
      <c r="E35" s="248">
        <v>241300</v>
      </c>
      <c r="F35" s="248">
        <v>245689</v>
      </c>
      <c r="G35" s="248">
        <v>245408</v>
      </c>
      <c r="H35" s="248">
        <v>259620</v>
      </c>
      <c r="I35" s="248">
        <v>259879</v>
      </c>
      <c r="J35" s="248">
        <v>264192</v>
      </c>
      <c r="K35" s="248">
        <v>256727</v>
      </c>
      <c r="L35" s="248">
        <v>253131</v>
      </c>
      <c r="M35" s="248">
        <v>272169</v>
      </c>
      <c r="N35" s="248">
        <v>255125</v>
      </c>
      <c r="O35" s="248">
        <v>252131</v>
      </c>
      <c r="P35" s="251">
        <f t="shared" si="4"/>
        <v>3050567</v>
      </c>
    </row>
    <row r="36" spans="2:20" x14ac:dyDescent="0.25">
      <c r="B36" s="509"/>
      <c r="C36" s="245" t="s">
        <v>81</v>
      </c>
      <c r="D36" s="248">
        <v>786973</v>
      </c>
      <c r="E36" s="248">
        <v>791461</v>
      </c>
      <c r="F36" s="248">
        <v>830724</v>
      </c>
      <c r="G36" s="248">
        <v>813057</v>
      </c>
      <c r="H36" s="248">
        <v>894991</v>
      </c>
      <c r="I36" s="248">
        <v>908184</v>
      </c>
      <c r="J36" s="248">
        <v>910273</v>
      </c>
      <c r="K36" s="248">
        <v>892984</v>
      </c>
      <c r="L36" s="248">
        <v>916522</v>
      </c>
      <c r="M36" s="248">
        <v>986835</v>
      </c>
      <c r="N36" s="248">
        <v>867098</v>
      </c>
      <c r="O36" s="248">
        <v>841591</v>
      </c>
      <c r="P36" s="251">
        <f t="shared" si="4"/>
        <v>10440693</v>
      </c>
    </row>
    <row r="37" spans="2:20" x14ac:dyDescent="0.25">
      <c r="B37" s="506" t="s">
        <v>75</v>
      </c>
      <c r="C37" s="506"/>
      <c r="D37" s="247">
        <f>SUM(D32:D36)</f>
        <v>1167570</v>
      </c>
      <c r="E37" s="247">
        <f t="shared" ref="E37:N37" si="7">SUM(E32:E36)</f>
        <v>1169306</v>
      </c>
      <c r="F37" s="247">
        <f t="shared" si="7"/>
        <v>1211825</v>
      </c>
      <c r="G37" s="247">
        <f t="shared" si="7"/>
        <v>1194325</v>
      </c>
      <c r="H37" s="247">
        <f t="shared" si="7"/>
        <v>1290381</v>
      </c>
      <c r="I37" s="247">
        <f t="shared" si="7"/>
        <v>1304829</v>
      </c>
      <c r="J37" s="247">
        <f t="shared" si="7"/>
        <v>1312146</v>
      </c>
      <c r="K37" s="247">
        <f t="shared" si="7"/>
        <v>1289090</v>
      </c>
      <c r="L37" s="247">
        <f t="shared" si="7"/>
        <v>1297516</v>
      </c>
      <c r="M37" s="247">
        <f t="shared" si="7"/>
        <v>1397235</v>
      </c>
      <c r="N37" s="247">
        <f t="shared" si="7"/>
        <v>1260790</v>
      </c>
      <c r="O37" s="247">
        <f>SUM(O32:O36)</f>
        <v>1233504</v>
      </c>
      <c r="P37" s="247">
        <f t="shared" si="4"/>
        <v>15128517</v>
      </c>
    </row>
    <row r="38" spans="2:20" x14ac:dyDescent="0.25">
      <c r="B38" s="509" t="s">
        <v>43</v>
      </c>
      <c r="C38" s="245" t="s">
        <v>77</v>
      </c>
      <c r="D38" s="248">
        <v>434</v>
      </c>
      <c r="E38" s="248">
        <v>426</v>
      </c>
      <c r="F38" s="248">
        <v>411</v>
      </c>
      <c r="G38" s="248">
        <v>441</v>
      </c>
      <c r="H38" s="248">
        <v>416</v>
      </c>
      <c r="I38" s="248">
        <v>428</v>
      </c>
      <c r="J38" s="248">
        <v>375</v>
      </c>
      <c r="K38" s="248">
        <v>383</v>
      </c>
      <c r="L38" s="248">
        <v>363</v>
      </c>
      <c r="M38" s="248">
        <v>353</v>
      </c>
      <c r="N38" s="248">
        <v>393</v>
      </c>
      <c r="O38" s="248">
        <v>440</v>
      </c>
      <c r="P38" s="251">
        <f t="shared" si="4"/>
        <v>4863</v>
      </c>
    </row>
    <row r="39" spans="2:20" x14ac:dyDescent="0.25">
      <c r="B39" s="509"/>
      <c r="C39" s="245" t="s">
        <v>78</v>
      </c>
      <c r="D39" s="248">
        <v>622</v>
      </c>
      <c r="E39" s="248">
        <v>635</v>
      </c>
      <c r="F39" s="248">
        <v>610</v>
      </c>
      <c r="G39" s="248">
        <v>644</v>
      </c>
      <c r="H39" s="248">
        <v>596</v>
      </c>
      <c r="I39" s="248">
        <v>578</v>
      </c>
      <c r="J39" s="248">
        <v>644</v>
      </c>
      <c r="K39" s="248">
        <v>646</v>
      </c>
      <c r="L39" s="248">
        <v>496</v>
      </c>
      <c r="M39" s="248">
        <v>557</v>
      </c>
      <c r="N39" s="248">
        <v>583</v>
      </c>
      <c r="O39" s="248">
        <v>540</v>
      </c>
      <c r="P39" s="251">
        <f t="shared" ref="P39:P42" si="8">SUM(D39:O39)</f>
        <v>7151</v>
      </c>
    </row>
    <row r="40" spans="2:20" x14ac:dyDescent="0.25">
      <c r="B40" s="509"/>
      <c r="C40" s="245" t="s">
        <v>79</v>
      </c>
      <c r="D40" s="248">
        <v>768</v>
      </c>
      <c r="E40" s="248">
        <v>779</v>
      </c>
      <c r="F40" s="248">
        <v>711</v>
      </c>
      <c r="G40" s="248">
        <v>719</v>
      </c>
      <c r="H40" s="248">
        <v>739</v>
      </c>
      <c r="I40" s="248">
        <v>805</v>
      </c>
      <c r="J40" s="248">
        <v>710</v>
      </c>
      <c r="K40" s="248">
        <v>669</v>
      </c>
      <c r="L40" s="248">
        <v>597</v>
      </c>
      <c r="M40" s="248">
        <v>643</v>
      </c>
      <c r="N40" s="248">
        <v>785</v>
      </c>
      <c r="O40" s="248">
        <v>707</v>
      </c>
      <c r="P40" s="251">
        <f t="shared" si="8"/>
        <v>8632</v>
      </c>
    </row>
    <row r="41" spans="2:20" x14ac:dyDescent="0.25">
      <c r="B41" s="509"/>
      <c r="C41" s="245" t="s">
        <v>80</v>
      </c>
      <c r="D41" s="248">
        <v>6571</v>
      </c>
      <c r="E41" s="248">
        <v>6351</v>
      </c>
      <c r="F41" s="248">
        <v>6458</v>
      </c>
      <c r="G41" s="248">
        <v>6871</v>
      </c>
      <c r="H41" s="248">
        <v>6694</v>
      </c>
      <c r="I41" s="248">
        <v>6129</v>
      </c>
      <c r="J41" s="248">
        <v>6647</v>
      </c>
      <c r="K41" s="248">
        <v>6986</v>
      </c>
      <c r="L41" s="248">
        <v>6939</v>
      </c>
      <c r="M41" s="248">
        <v>6989</v>
      </c>
      <c r="N41" s="248">
        <v>6817</v>
      </c>
      <c r="O41" s="248">
        <v>6446</v>
      </c>
      <c r="P41" s="251">
        <f t="shared" si="8"/>
        <v>79898</v>
      </c>
    </row>
    <row r="42" spans="2:20" x14ac:dyDescent="0.25">
      <c r="B42" s="509"/>
      <c r="C42" s="245" t="s">
        <v>81</v>
      </c>
      <c r="D42" s="248">
        <v>42118</v>
      </c>
      <c r="E42" s="248">
        <v>39386</v>
      </c>
      <c r="F42" s="248">
        <v>46280</v>
      </c>
      <c r="G42" s="248">
        <v>41495</v>
      </c>
      <c r="H42" s="248">
        <v>49936</v>
      </c>
      <c r="I42" s="248">
        <v>45910</v>
      </c>
      <c r="J42" s="248">
        <v>43947</v>
      </c>
      <c r="K42" s="248">
        <v>49650</v>
      </c>
      <c r="L42" s="248">
        <v>54448</v>
      </c>
      <c r="M42" s="248">
        <v>48963</v>
      </c>
      <c r="N42" s="248">
        <v>49101</v>
      </c>
      <c r="O42" s="248">
        <v>40729</v>
      </c>
      <c r="P42" s="251">
        <f t="shared" si="8"/>
        <v>551963</v>
      </c>
    </row>
    <row r="43" spans="2:20" x14ac:dyDescent="0.25">
      <c r="B43" s="506" t="s">
        <v>75</v>
      </c>
      <c r="C43" s="506"/>
      <c r="D43" s="247">
        <f>SUM(D38:D42)</f>
        <v>50513</v>
      </c>
      <c r="E43" s="247">
        <f t="shared" ref="E43:O43" si="9">SUM(E38:E42)</f>
        <v>47577</v>
      </c>
      <c r="F43" s="247">
        <f t="shared" si="9"/>
        <v>54470</v>
      </c>
      <c r="G43" s="247">
        <f t="shared" si="9"/>
        <v>50170</v>
      </c>
      <c r="H43" s="247">
        <f t="shared" si="9"/>
        <v>58381</v>
      </c>
      <c r="I43" s="247">
        <f t="shared" si="9"/>
        <v>53850</v>
      </c>
      <c r="J43" s="247">
        <f t="shared" si="9"/>
        <v>52323</v>
      </c>
      <c r="K43" s="247">
        <f t="shared" si="9"/>
        <v>58334</v>
      </c>
      <c r="L43" s="247">
        <f t="shared" si="9"/>
        <v>62843</v>
      </c>
      <c r="M43" s="247">
        <f t="shared" si="9"/>
        <v>57505</v>
      </c>
      <c r="N43" s="247">
        <f t="shared" si="9"/>
        <v>57679</v>
      </c>
      <c r="O43" s="247">
        <f t="shared" si="9"/>
        <v>48862</v>
      </c>
      <c r="P43" s="247">
        <f t="shared" ref="P43:P52" si="10">SUM(D43:O43)</f>
        <v>652507</v>
      </c>
    </row>
    <row r="44" spans="2:20" x14ac:dyDescent="0.25">
      <c r="B44" s="509" t="s">
        <v>82</v>
      </c>
      <c r="C44" s="245" t="s">
        <v>77</v>
      </c>
      <c r="D44" s="248">
        <v>585</v>
      </c>
      <c r="E44" s="248">
        <v>588</v>
      </c>
      <c r="F44" s="248">
        <v>598</v>
      </c>
      <c r="G44" s="248">
        <v>580</v>
      </c>
      <c r="H44" s="248">
        <v>554</v>
      </c>
      <c r="I44" s="248">
        <v>491</v>
      </c>
      <c r="J44" s="248">
        <v>508</v>
      </c>
      <c r="K44" s="248">
        <v>459</v>
      </c>
      <c r="L44" s="248">
        <v>402</v>
      </c>
      <c r="M44" s="248">
        <v>421</v>
      </c>
      <c r="N44" s="248">
        <v>476</v>
      </c>
      <c r="O44" s="248">
        <v>535</v>
      </c>
      <c r="P44" s="251">
        <f t="shared" si="10"/>
        <v>6197</v>
      </c>
    </row>
    <row r="45" spans="2:20" x14ac:dyDescent="0.25">
      <c r="B45" s="509"/>
      <c r="C45" s="245" t="s">
        <v>78</v>
      </c>
      <c r="D45" s="248">
        <v>740</v>
      </c>
      <c r="E45" s="248">
        <v>793</v>
      </c>
      <c r="F45" s="248">
        <v>885</v>
      </c>
      <c r="G45" s="248">
        <v>715</v>
      </c>
      <c r="H45" s="248">
        <v>657</v>
      </c>
      <c r="I45" s="248">
        <v>681</v>
      </c>
      <c r="J45" s="248">
        <v>693</v>
      </c>
      <c r="K45" s="248">
        <v>687</v>
      </c>
      <c r="L45" s="248">
        <v>600</v>
      </c>
      <c r="M45" s="248">
        <v>556</v>
      </c>
      <c r="N45" s="248">
        <v>750</v>
      </c>
      <c r="O45" s="248">
        <v>782</v>
      </c>
      <c r="P45" s="251">
        <f t="shared" si="10"/>
        <v>8539</v>
      </c>
    </row>
    <row r="46" spans="2:20" x14ac:dyDescent="0.25">
      <c r="B46" s="509"/>
      <c r="C46" s="245" t="s">
        <v>79</v>
      </c>
      <c r="D46" s="248">
        <v>948</v>
      </c>
      <c r="E46" s="248">
        <v>939</v>
      </c>
      <c r="F46" s="248">
        <v>788</v>
      </c>
      <c r="G46" s="248">
        <v>853</v>
      </c>
      <c r="H46" s="248">
        <v>868</v>
      </c>
      <c r="I46" s="248">
        <v>838</v>
      </c>
      <c r="J46" s="248">
        <v>793</v>
      </c>
      <c r="K46" s="248">
        <v>701</v>
      </c>
      <c r="L46" s="248">
        <v>834</v>
      </c>
      <c r="M46" s="248">
        <v>752</v>
      </c>
      <c r="N46" s="248">
        <v>923</v>
      </c>
      <c r="O46" s="248">
        <v>972</v>
      </c>
      <c r="P46" s="251">
        <f t="shared" si="10"/>
        <v>10209</v>
      </c>
    </row>
    <row r="47" spans="2:20" x14ac:dyDescent="0.25">
      <c r="B47" s="509"/>
      <c r="C47" s="245" t="s">
        <v>80</v>
      </c>
      <c r="D47" s="248">
        <v>13450</v>
      </c>
      <c r="E47" s="248">
        <v>16359</v>
      </c>
      <c r="F47" s="248">
        <v>13211</v>
      </c>
      <c r="G47" s="248">
        <v>12432</v>
      </c>
      <c r="H47" s="248">
        <v>12681</v>
      </c>
      <c r="I47" s="248">
        <v>12014</v>
      </c>
      <c r="J47" s="248">
        <v>12749</v>
      </c>
      <c r="K47" s="248">
        <v>12337</v>
      </c>
      <c r="L47" s="248">
        <v>12631</v>
      </c>
      <c r="M47" s="248">
        <v>12142</v>
      </c>
      <c r="N47" s="248">
        <v>12077</v>
      </c>
      <c r="O47" s="248">
        <v>13077</v>
      </c>
      <c r="P47" s="251">
        <f t="shared" si="10"/>
        <v>155160</v>
      </c>
    </row>
    <row r="48" spans="2:20" x14ac:dyDescent="0.25">
      <c r="B48" s="509"/>
      <c r="C48" s="245" t="s">
        <v>81</v>
      </c>
      <c r="D48" s="248">
        <v>812312</v>
      </c>
      <c r="E48" s="248">
        <v>710365</v>
      </c>
      <c r="F48" s="248">
        <v>736165</v>
      </c>
      <c r="G48" s="248">
        <v>829852</v>
      </c>
      <c r="H48" s="248">
        <v>859054</v>
      </c>
      <c r="I48" s="248">
        <v>924551</v>
      </c>
      <c r="J48" s="248">
        <v>841557</v>
      </c>
      <c r="K48" s="248">
        <v>862115</v>
      </c>
      <c r="L48" s="248">
        <v>947894</v>
      </c>
      <c r="M48" s="248">
        <v>959060</v>
      </c>
      <c r="N48" s="248">
        <v>884119</v>
      </c>
      <c r="O48" s="248">
        <v>827731</v>
      </c>
      <c r="P48" s="251">
        <f t="shared" si="10"/>
        <v>10194775</v>
      </c>
    </row>
    <row r="49" spans="2:16" x14ac:dyDescent="0.25">
      <c r="B49" s="506" t="s">
        <v>75</v>
      </c>
      <c r="C49" s="506"/>
      <c r="D49" s="247">
        <f>SUM(D44:D48)</f>
        <v>828035</v>
      </c>
      <c r="E49" s="247">
        <f t="shared" ref="E49:O49" si="11">SUM(E44:E48)</f>
        <v>729044</v>
      </c>
      <c r="F49" s="247">
        <f t="shared" si="11"/>
        <v>751647</v>
      </c>
      <c r="G49" s="247">
        <f t="shared" si="11"/>
        <v>844432</v>
      </c>
      <c r="H49" s="247">
        <f t="shared" si="11"/>
        <v>873814</v>
      </c>
      <c r="I49" s="247">
        <f t="shared" si="11"/>
        <v>938575</v>
      </c>
      <c r="J49" s="247">
        <f t="shared" si="11"/>
        <v>856300</v>
      </c>
      <c r="K49" s="247">
        <f t="shared" si="11"/>
        <v>876299</v>
      </c>
      <c r="L49" s="247">
        <f t="shared" si="11"/>
        <v>962361</v>
      </c>
      <c r="M49" s="247">
        <f t="shared" si="11"/>
        <v>972931</v>
      </c>
      <c r="N49" s="247">
        <f t="shared" si="11"/>
        <v>898345</v>
      </c>
      <c r="O49" s="247">
        <f t="shared" si="11"/>
        <v>843097</v>
      </c>
      <c r="P49" s="247">
        <f t="shared" si="10"/>
        <v>10374880</v>
      </c>
    </row>
    <row r="50" spans="2:16" x14ac:dyDescent="0.25">
      <c r="B50" s="506" t="s">
        <v>83</v>
      </c>
      <c r="C50" s="506"/>
      <c r="D50" s="247">
        <f t="shared" ref="D50" si="12">(D24+D31+D37+D43+D49)</f>
        <v>13326355</v>
      </c>
      <c r="E50" s="247">
        <f t="shared" ref="E50:O50" si="13">(E24+E31+E37+E43+E49)</f>
        <v>12831228</v>
      </c>
      <c r="F50" s="247">
        <f>(F24+F31+F37+F43+F49)</f>
        <v>13216749</v>
      </c>
      <c r="G50" s="247">
        <f t="shared" si="13"/>
        <v>13246544</v>
      </c>
      <c r="H50" s="247">
        <f t="shared" si="13"/>
        <v>14186321</v>
      </c>
      <c r="I50" s="247">
        <f t="shared" si="13"/>
        <v>14147442</v>
      </c>
      <c r="J50" s="247">
        <f t="shared" si="13"/>
        <v>14071408</v>
      </c>
      <c r="K50" s="247">
        <f t="shared" si="13"/>
        <v>13867141</v>
      </c>
      <c r="L50" s="247">
        <f t="shared" si="13"/>
        <v>15127141</v>
      </c>
      <c r="M50" s="247">
        <f t="shared" si="13"/>
        <v>15041636</v>
      </c>
      <c r="N50" s="247">
        <f t="shared" si="13"/>
        <v>13627311</v>
      </c>
      <c r="O50" s="247">
        <f t="shared" si="13"/>
        <v>13332900</v>
      </c>
      <c r="P50" s="247">
        <f>P49+P43+P37+P31+P24</f>
        <v>166022176</v>
      </c>
    </row>
    <row r="51" spans="2:16" x14ac:dyDescent="0.25">
      <c r="B51" s="252" t="s">
        <v>84</v>
      </c>
      <c r="C51" s="245"/>
      <c r="D51" s="248">
        <v>132747</v>
      </c>
      <c r="E51" s="248">
        <v>88301</v>
      </c>
      <c r="F51" s="248">
        <v>82747</v>
      </c>
      <c r="G51" s="248">
        <v>113977</v>
      </c>
      <c r="H51" s="248">
        <v>106187</v>
      </c>
      <c r="I51" s="248">
        <v>103676</v>
      </c>
      <c r="J51" s="248">
        <v>69523</v>
      </c>
      <c r="K51" s="248">
        <v>96303</v>
      </c>
      <c r="L51" s="248">
        <v>168094</v>
      </c>
      <c r="M51" s="248">
        <v>110418</v>
      </c>
      <c r="N51" s="248">
        <v>177604</v>
      </c>
      <c r="O51" s="248">
        <v>136046</v>
      </c>
      <c r="P51" s="251">
        <f t="shared" si="10"/>
        <v>1385623</v>
      </c>
    </row>
    <row r="52" spans="2:16" x14ac:dyDescent="0.25">
      <c r="B52" s="252" t="s">
        <v>85</v>
      </c>
      <c r="C52" s="245"/>
      <c r="D52" s="248">
        <v>25385</v>
      </c>
      <c r="E52" s="248">
        <v>8743</v>
      </c>
      <c r="F52" s="248">
        <v>27049</v>
      </c>
      <c r="G52" s="248">
        <v>10545</v>
      </c>
      <c r="H52" s="248">
        <v>10545</v>
      </c>
      <c r="I52" s="248">
        <v>96648</v>
      </c>
      <c r="J52" s="248">
        <v>25640</v>
      </c>
      <c r="K52" s="248">
        <v>34068</v>
      </c>
      <c r="L52" s="248">
        <v>11866</v>
      </c>
      <c r="M52" s="248">
        <v>38076</v>
      </c>
      <c r="N52" s="248">
        <v>19859</v>
      </c>
      <c r="O52" s="248">
        <v>140</v>
      </c>
      <c r="P52" s="251">
        <f t="shared" si="10"/>
        <v>308564</v>
      </c>
    </row>
    <row r="53" spans="2:16" x14ac:dyDescent="0.25">
      <c r="B53" s="506" t="s">
        <v>86</v>
      </c>
      <c r="C53" s="506"/>
      <c r="D53" s="247">
        <f>SUM(D51:D52)</f>
        <v>158132</v>
      </c>
      <c r="E53" s="247">
        <f t="shared" ref="E53:O53" si="14">SUM(E51:E52)</f>
        <v>97044</v>
      </c>
      <c r="F53" s="247">
        <f>SUM(F51:F52)</f>
        <v>109796</v>
      </c>
      <c r="G53" s="247">
        <f t="shared" si="14"/>
        <v>124522</v>
      </c>
      <c r="H53" s="247">
        <f t="shared" si="14"/>
        <v>116732</v>
      </c>
      <c r="I53" s="247">
        <f t="shared" si="14"/>
        <v>200324</v>
      </c>
      <c r="J53" s="247">
        <f t="shared" si="14"/>
        <v>95163</v>
      </c>
      <c r="K53" s="247">
        <f t="shared" si="14"/>
        <v>130371</v>
      </c>
      <c r="L53" s="247">
        <f t="shared" si="14"/>
        <v>179960</v>
      </c>
      <c r="M53" s="247">
        <f t="shared" si="14"/>
        <v>148494</v>
      </c>
      <c r="N53" s="247">
        <f t="shared" si="14"/>
        <v>197463</v>
      </c>
      <c r="O53" s="247">
        <f t="shared" si="14"/>
        <v>136186</v>
      </c>
      <c r="P53" s="247">
        <f>SUM(D53:O53)</f>
        <v>1694187</v>
      </c>
    </row>
    <row r="54" spans="2:16" x14ac:dyDescent="0.25">
      <c r="B54" s="506" t="s">
        <v>87</v>
      </c>
      <c r="C54" s="506"/>
      <c r="D54" s="247">
        <f>D31+D37+D43+D49+D53+D24</f>
        <v>13484487</v>
      </c>
      <c r="E54" s="247">
        <f>E31+E37+E43+E49+E53+E24</f>
        <v>12928272</v>
      </c>
      <c r="F54" s="247">
        <f>F31+F37+F43+F49+F53+F24</f>
        <v>13326545</v>
      </c>
      <c r="G54" s="247">
        <f t="shared" ref="G54:O54" si="15">G31+G37+G43+G49+G53+G24</f>
        <v>13371066</v>
      </c>
      <c r="H54" s="247">
        <f t="shared" si="15"/>
        <v>14303053</v>
      </c>
      <c r="I54" s="247">
        <f t="shared" si="15"/>
        <v>14347766</v>
      </c>
      <c r="J54" s="247">
        <f t="shared" si="15"/>
        <v>14166571</v>
      </c>
      <c r="K54" s="247">
        <f t="shared" si="15"/>
        <v>13997512</v>
      </c>
      <c r="L54" s="247">
        <f t="shared" si="15"/>
        <v>15307101</v>
      </c>
      <c r="M54" s="247">
        <f t="shared" si="15"/>
        <v>15190130</v>
      </c>
      <c r="N54" s="247">
        <f t="shared" si="15"/>
        <v>13824774</v>
      </c>
      <c r="O54" s="247">
        <f t="shared" si="15"/>
        <v>13469086</v>
      </c>
      <c r="P54" s="247">
        <f>SUM(D54:O54)</f>
        <v>167716363</v>
      </c>
    </row>
    <row r="55" spans="2:16" x14ac:dyDescent="0.25">
      <c r="B55" s="95" t="s">
        <v>24</v>
      </c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</row>
    <row r="56" spans="2:16" x14ac:dyDescent="0.25"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</row>
    <row r="57" spans="2:16" ht="18" x14ac:dyDescent="0.25">
      <c r="B57" s="481" t="s">
        <v>88</v>
      </c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N57" s="481"/>
      <c r="O57" s="481"/>
      <c r="P57" s="481"/>
    </row>
    <row r="58" spans="2:16" x14ac:dyDescent="0.25">
      <c r="B58" s="243" t="s">
        <v>66</v>
      </c>
      <c r="C58" s="243" t="s">
        <v>67</v>
      </c>
      <c r="D58" s="244">
        <f>D17</f>
        <v>45292</v>
      </c>
      <c r="E58" s="244">
        <f t="shared" ref="E58:O58" si="16">E17</f>
        <v>45323</v>
      </c>
      <c r="F58" s="244">
        <f t="shared" si="16"/>
        <v>45352</v>
      </c>
      <c r="G58" s="244">
        <f t="shared" si="16"/>
        <v>45383</v>
      </c>
      <c r="H58" s="244">
        <f t="shared" si="16"/>
        <v>45413</v>
      </c>
      <c r="I58" s="244">
        <f t="shared" si="16"/>
        <v>45444</v>
      </c>
      <c r="J58" s="244">
        <f t="shared" si="16"/>
        <v>45474</v>
      </c>
      <c r="K58" s="244">
        <f t="shared" si="16"/>
        <v>45505</v>
      </c>
      <c r="L58" s="244">
        <f t="shared" si="16"/>
        <v>45536</v>
      </c>
      <c r="M58" s="244">
        <f t="shared" si="16"/>
        <v>45566</v>
      </c>
      <c r="N58" s="244">
        <f t="shared" si="16"/>
        <v>45597</v>
      </c>
      <c r="O58" s="244">
        <f t="shared" si="16"/>
        <v>45627</v>
      </c>
      <c r="P58" s="244" t="s">
        <v>64</v>
      </c>
    </row>
    <row r="59" spans="2:16" x14ac:dyDescent="0.25">
      <c r="B59" s="507" t="s">
        <v>68</v>
      </c>
      <c r="C59" s="245" t="s">
        <v>69</v>
      </c>
      <c r="D59" s="248">
        <v>1469539.31</v>
      </c>
      <c r="E59" s="248">
        <v>1557670.48</v>
      </c>
      <c r="F59" s="248">
        <v>1507287.07</v>
      </c>
      <c r="G59" s="248">
        <v>1536734.95</v>
      </c>
      <c r="H59" s="248">
        <v>1407537.15</v>
      </c>
      <c r="I59" s="248">
        <v>1472997.21</v>
      </c>
      <c r="J59" s="248">
        <v>1491153.13</v>
      </c>
      <c r="K59" s="248">
        <v>1568217.36</v>
      </c>
      <c r="L59" s="248">
        <v>1368883.65</v>
      </c>
      <c r="M59" s="248">
        <v>1344544.07</v>
      </c>
      <c r="N59" s="248">
        <v>1567310.37</v>
      </c>
      <c r="O59" s="248">
        <v>1556899.19</v>
      </c>
      <c r="P59" s="249">
        <f>SUM(D59:O59)</f>
        <v>17848773.940000001</v>
      </c>
    </row>
    <row r="60" spans="2:16" x14ac:dyDescent="0.25">
      <c r="B60" s="507"/>
      <c r="C60" s="245" t="s">
        <v>70</v>
      </c>
      <c r="D60" s="248">
        <v>3763494.24</v>
      </c>
      <c r="E60" s="248">
        <v>3737493</v>
      </c>
      <c r="F60" s="248">
        <v>3763584.2</v>
      </c>
      <c r="G60" s="248">
        <v>3750015.39</v>
      </c>
      <c r="H60" s="248">
        <v>3776907.03</v>
      </c>
      <c r="I60" s="248">
        <v>3754312.97</v>
      </c>
      <c r="J60" s="248">
        <v>3772171.41</v>
      </c>
      <c r="K60" s="248">
        <v>3729429.96</v>
      </c>
      <c r="L60" s="248">
        <v>3741655.21</v>
      </c>
      <c r="M60" s="248">
        <v>3821612.89</v>
      </c>
      <c r="N60" s="248">
        <v>3793910.95</v>
      </c>
      <c r="O60" s="330">
        <v>3724794.61</v>
      </c>
      <c r="P60" s="249">
        <f t="shared" ref="P60:P64" si="17">SUM(D60:O60)</f>
        <v>45129381.860000007</v>
      </c>
    </row>
    <row r="61" spans="2:16" x14ac:dyDescent="0.25">
      <c r="B61" s="507"/>
      <c r="C61" s="245" t="s">
        <v>71</v>
      </c>
      <c r="D61" s="248">
        <v>2550080.2999999998</v>
      </c>
      <c r="E61" s="248">
        <v>2396932.4300000002</v>
      </c>
      <c r="F61" s="248">
        <v>2558056.89</v>
      </c>
      <c r="G61" s="248">
        <v>2543956.2000000002</v>
      </c>
      <c r="H61" s="248">
        <v>2842998.5</v>
      </c>
      <c r="I61" s="248">
        <v>2736793.2</v>
      </c>
      <c r="J61" s="248">
        <v>2692600.17</v>
      </c>
      <c r="K61" s="248">
        <v>2603117.13</v>
      </c>
      <c r="L61" s="248">
        <v>3053204.6</v>
      </c>
      <c r="M61" s="248">
        <v>3115650.29</v>
      </c>
      <c r="N61" s="248">
        <v>2641625.2000000002</v>
      </c>
      <c r="O61" s="330">
        <v>2464728.85</v>
      </c>
      <c r="P61" s="249">
        <f t="shared" si="17"/>
        <v>32199743.759999998</v>
      </c>
    </row>
    <row r="62" spans="2:16" x14ac:dyDescent="0.25">
      <c r="B62" s="507"/>
      <c r="C62" s="245" t="s">
        <v>72</v>
      </c>
      <c r="D62" s="248">
        <v>1065699.42</v>
      </c>
      <c r="E62" s="248">
        <v>940937.2</v>
      </c>
      <c r="F62" s="248">
        <v>1054501.8</v>
      </c>
      <c r="G62" s="248">
        <v>1042595.3</v>
      </c>
      <c r="H62" s="248">
        <v>1305123.8</v>
      </c>
      <c r="I62" s="248">
        <v>1238835.79</v>
      </c>
      <c r="J62" s="248">
        <v>1253496.1000000001</v>
      </c>
      <c r="K62" s="248">
        <v>1102698.05</v>
      </c>
      <c r="L62" s="248">
        <v>1468965.2</v>
      </c>
      <c r="M62" s="248">
        <v>1540230.81</v>
      </c>
      <c r="N62" s="248">
        <v>1065488.58</v>
      </c>
      <c r="O62" s="248">
        <v>991074.4</v>
      </c>
      <c r="P62" s="249">
        <f t="shared" si="17"/>
        <v>14069646.450000001</v>
      </c>
    </row>
    <row r="63" spans="2:16" x14ac:dyDescent="0.25">
      <c r="B63" s="507"/>
      <c r="C63" s="245" t="s">
        <v>73</v>
      </c>
      <c r="D63" s="248">
        <v>345097.4</v>
      </c>
      <c r="E63" s="248">
        <v>276896.90000000002</v>
      </c>
      <c r="F63" s="248">
        <v>308491.59000000003</v>
      </c>
      <c r="G63" s="248">
        <v>296353.09999999998</v>
      </c>
      <c r="H63" s="248">
        <v>403217.6</v>
      </c>
      <c r="I63" s="248">
        <v>398695.7</v>
      </c>
      <c r="J63" s="248">
        <v>404216.94</v>
      </c>
      <c r="K63" s="248">
        <v>376475.8</v>
      </c>
      <c r="L63" s="248">
        <v>515897.41</v>
      </c>
      <c r="M63" s="248">
        <v>506644.26</v>
      </c>
      <c r="N63" s="248">
        <v>319057.8</v>
      </c>
      <c r="O63" s="248">
        <v>294552.09999999998</v>
      </c>
      <c r="P63" s="249">
        <f t="shared" si="17"/>
        <v>4445596.5999999996</v>
      </c>
    </row>
    <row r="64" spans="2:16" x14ac:dyDescent="0.25">
      <c r="B64" s="507"/>
      <c r="C64" s="245" t="s">
        <v>74</v>
      </c>
      <c r="D64" s="248">
        <v>252027.7</v>
      </c>
      <c r="E64" s="248">
        <v>249240.9</v>
      </c>
      <c r="F64" s="248">
        <v>231041.2</v>
      </c>
      <c r="G64" s="248">
        <v>236338.2</v>
      </c>
      <c r="H64" s="248">
        <v>313585.46000000002</v>
      </c>
      <c r="I64" s="248">
        <v>316373.55</v>
      </c>
      <c r="J64" s="248">
        <v>316022.56</v>
      </c>
      <c r="K64" s="248">
        <v>323523.8</v>
      </c>
      <c r="L64" s="248">
        <v>368897.4</v>
      </c>
      <c r="M64" s="248">
        <v>421738.4</v>
      </c>
      <c r="N64" s="248">
        <v>252845.41</v>
      </c>
      <c r="O64" s="248">
        <v>232976.1</v>
      </c>
      <c r="P64" s="249">
        <f t="shared" si="17"/>
        <v>3514610.68</v>
      </c>
    </row>
    <row r="65" spans="2:16" ht="14.25" customHeight="1" x14ac:dyDescent="0.25">
      <c r="B65" s="508" t="s">
        <v>75</v>
      </c>
      <c r="C65" s="508"/>
      <c r="D65" s="250">
        <f xml:space="preserve"> SUM(D59:D64)</f>
        <v>9445938.3699999992</v>
      </c>
      <c r="E65" s="250">
        <f t="shared" ref="E65:O65" si="18" xml:space="preserve"> SUM(E59:E64)</f>
        <v>9159170.9100000001</v>
      </c>
      <c r="F65" s="250">
        <f t="shared" si="18"/>
        <v>9422962.75</v>
      </c>
      <c r="G65" s="250">
        <f t="shared" si="18"/>
        <v>9405993.1399999987</v>
      </c>
      <c r="H65" s="250">
        <f t="shared" si="18"/>
        <v>10049369.540000001</v>
      </c>
      <c r="I65" s="250">
        <f t="shared" si="18"/>
        <v>9918008.4199999999</v>
      </c>
      <c r="J65" s="250">
        <f t="shared" si="18"/>
        <v>9929660.3100000005</v>
      </c>
      <c r="K65" s="250">
        <f t="shared" si="18"/>
        <v>9703462.1000000015</v>
      </c>
      <c r="L65" s="250">
        <f t="shared" si="18"/>
        <v>10517503.469999999</v>
      </c>
      <c r="M65" s="250">
        <f t="shared" si="18"/>
        <v>10750420.720000001</v>
      </c>
      <c r="N65" s="250">
        <f t="shared" si="18"/>
        <v>9640238.3100000024</v>
      </c>
      <c r="O65" s="250">
        <f t="shared" si="18"/>
        <v>9265025.25</v>
      </c>
      <c r="P65" s="250">
        <f>SUM(D65:O65)</f>
        <v>117207753.28999999</v>
      </c>
    </row>
    <row r="66" spans="2:16" x14ac:dyDescent="0.25">
      <c r="B66" s="507" t="s">
        <v>76</v>
      </c>
      <c r="C66" s="245" t="s">
        <v>69</v>
      </c>
      <c r="D66" s="248">
        <v>50398.55</v>
      </c>
      <c r="E66" s="248">
        <v>56844.87</v>
      </c>
      <c r="F66" s="248">
        <v>49769.17</v>
      </c>
      <c r="G66" s="248">
        <v>47807.83</v>
      </c>
      <c r="H66" s="248">
        <v>44813.51</v>
      </c>
      <c r="I66" s="248">
        <v>46519.56</v>
      </c>
      <c r="J66" s="248">
        <v>46022.83</v>
      </c>
      <c r="K66" s="248">
        <v>45470.720000000001</v>
      </c>
      <c r="L66" s="248">
        <v>40135.5</v>
      </c>
      <c r="M66" s="248">
        <v>38789.33</v>
      </c>
      <c r="N66" s="248">
        <v>43782.96</v>
      </c>
      <c r="O66" s="248">
        <v>80986.05</v>
      </c>
      <c r="P66" s="249">
        <f>SUM(D66:O66)</f>
        <v>591340.88000000012</v>
      </c>
    </row>
    <row r="67" spans="2:16" x14ac:dyDescent="0.25">
      <c r="B67" s="507"/>
      <c r="C67" s="245" t="s">
        <v>70</v>
      </c>
      <c r="D67" s="248">
        <v>137538.51</v>
      </c>
      <c r="E67" s="248">
        <v>130354.86</v>
      </c>
      <c r="F67" s="248">
        <v>135071.4</v>
      </c>
      <c r="G67" s="248">
        <v>127102.11</v>
      </c>
      <c r="H67" s="248">
        <v>130011.89</v>
      </c>
      <c r="I67" s="248">
        <v>130751.55</v>
      </c>
      <c r="J67" s="248">
        <v>117389.55</v>
      </c>
      <c r="K67" s="248">
        <v>122612.28</v>
      </c>
      <c r="L67" s="248">
        <v>121459.44</v>
      </c>
      <c r="M67" s="248">
        <v>113378.41</v>
      </c>
      <c r="N67" s="248">
        <v>120055.2</v>
      </c>
      <c r="O67" s="248">
        <v>204081.03</v>
      </c>
      <c r="P67" s="249">
        <f t="shared" ref="P67:P89" si="19">SUM(D67:O67)</f>
        <v>1589806.23</v>
      </c>
    </row>
    <row r="68" spans="2:16" x14ac:dyDescent="0.25">
      <c r="B68" s="507"/>
      <c r="C68" s="245" t="s">
        <v>71</v>
      </c>
      <c r="D68" s="248">
        <v>101799.24</v>
      </c>
      <c r="E68" s="248">
        <v>93297.86</v>
      </c>
      <c r="F68" s="248">
        <v>100524.5</v>
      </c>
      <c r="G68" s="248">
        <v>94825.62</v>
      </c>
      <c r="H68" s="248">
        <v>100783.76</v>
      </c>
      <c r="I68" s="248">
        <v>97812.09</v>
      </c>
      <c r="J68" s="248">
        <v>91262.81</v>
      </c>
      <c r="K68" s="248">
        <v>88286.34</v>
      </c>
      <c r="L68" s="248">
        <v>105729.45</v>
      </c>
      <c r="M68" s="248">
        <v>103084.97</v>
      </c>
      <c r="N68" s="248">
        <v>88006.05</v>
      </c>
      <c r="O68" s="248">
        <v>143895.99</v>
      </c>
      <c r="P68" s="249">
        <f t="shared" si="19"/>
        <v>1209308.6799999997</v>
      </c>
    </row>
    <row r="69" spans="2:16" x14ac:dyDescent="0.25">
      <c r="B69" s="507"/>
      <c r="C69" s="245" t="s">
        <v>72</v>
      </c>
      <c r="D69" s="248">
        <v>55265.8</v>
      </c>
      <c r="E69" s="248">
        <v>44245.599999999999</v>
      </c>
      <c r="F69" s="248">
        <v>46485.2</v>
      </c>
      <c r="G69" s="248">
        <v>45145.4</v>
      </c>
      <c r="H69" s="248">
        <v>53318.400000000001</v>
      </c>
      <c r="I69" s="248">
        <v>48869.98</v>
      </c>
      <c r="J69" s="248">
        <v>44770.94</v>
      </c>
      <c r="K69" s="248">
        <v>42592.6</v>
      </c>
      <c r="L69" s="248">
        <v>57449.4</v>
      </c>
      <c r="M69" s="248">
        <v>60007</v>
      </c>
      <c r="N69" s="248">
        <v>42669.599999999999</v>
      </c>
      <c r="O69" s="248">
        <v>65479</v>
      </c>
      <c r="P69" s="249">
        <f t="shared" si="19"/>
        <v>606298.91999999993</v>
      </c>
    </row>
    <row r="70" spans="2:16" x14ac:dyDescent="0.25">
      <c r="B70" s="507"/>
      <c r="C70" s="245" t="s">
        <v>73</v>
      </c>
      <c r="D70" s="248">
        <v>16695.400000000001</v>
      </c>
      <c r="E70" s="248">
        <v>12576.6</v>
      </c>
      <c r="F70" s="248">
        <v>11810.6</v>
      </c>
      <c r="G70" s="248">
        <v>9510</v>
      </c>
      <c r="H70" s="248">
        <v>13276</v>
      </c>
      <c r="I70" s="248">
        <v>12465</v>
      </c>
      <c r="J70" s="248">
        <v>11281.8</v>
      </c>
      <c r="K70" s="248">
        <v>8984</v>
      </c>
      <c r="L70" s="248">
        <v>14053.8</v>
      </c>
      <c r="M70" s="248">
        <v>16747.2</v>
      </c>
      <c r="N70" s="248">
        <v>11048</v>
      </c>
      <c r="O70" s="248">
        <v>16508.2</v>
      </c>
      <c r="P70" s="249">
        <f t="shared" si="19"/>
        <v>154956.60000000003</v>
      </c>
    </row>
    <row r="71" spans="2:16" x14ac:dyDescent="0.25">
      <c r="B71" s="507"/>
      <c r="C71" s="245" t="s">
        <v>74</v>
      </c>
      <c r="D71" s="248">
        <v>11447.2</v>
      </c>
      <c r="E71" s="248">
        <v>10636.6</v>
      </c>
      <c r="F71" s="248">
        <v>9066.2000000000007</v>
      </c>
      <c r="G71" s="248">
        <v>7628.2</v>
      </c>
      <c r="H71" s="248">
        <v>6643.8</v>
      </c>
      <c r="I71" s="248">
        <v>5656.6</v>
      </c>
      <c r="J71" s="248">
        <v>6302.8</v>
      </c>
      <c r="K71" s="248">
        <v>5275.2</v>
      </c>
      <c r="L71" s="248">
        <v>9579</v>
      </c>
      <c r="M71" s="248">
        <v>8138.4</v>
      </c>
      <c r="N71" s="248">
        <v>9106</v>
      </c>
      <c r="O71" s="248">
        <v>11485.8</v>
      </c>
      <c r="P71" s="249">
        <f t="shared" si="19"/>
        <v>100965.8</v>
      </c>
    </row>
    <row r="72" spans="2:16" x14ac:dyDescent="0.25">
      <c r="B72" s="506" t="s">
        <v>75</v>
      </c>
      <c r="C72" s="506"/>
      <c r="D72" s="247">
        <f>SUM(D66:D71)</f>
        <v>373144.7</v>
      </c>
      <c r="E72" s="247">
        <f t="shared" ref="E72:O72" si="20">SUM(E66:E71)</f>
        <v>347956.38999999996</v>
      </c>
      <c r="F72" s="247">
        <f t="shared" si="20"/>
        <v>352727.07</v>
      </c>
      <c r="G72" s="247">
        <f t="shared" si="20"/>
        <v>332019.16000000003</v>
      </c>
      <c r="H72" s="247">
        <f t="shared" si="20"/>
        <v>348847.35999999999</v>
      </c>
      <c r="I72" s="247">
        <f t="shared" si="20"/>
        <v>342074.77999999991</v>
      </c>
      <c r="J72" s="247">
        <f t="shared" si="20"/>
        <v>317030.73</v>
      </c>
      <c r="K72" s="247">
        <f t="shared" si="20"/>
        <v>313221.14</v>
      </c>
      <c r="L72" s="247">
        <f t="shared" si="20"/>
        <v>348406.59</v>
      </c>
      <c r="M72" s="247">
        <f t="shared" si="20"/>
        <v>340145.31</v>
      </c>
      <c r="N72" s="247">
        <f t="shared" si="20"/>
        <v>314667.81</v>
      </c>
      <c r="O72" s="247">
        <f t="shared" si="20"/>
        <v>522436.07</v>
      </c>
      <c r="P72" s="247">
        <f>SUM(D72:O72)</f>
        <v>4252677.1099999994</v>
      </c>
    </row>
    <row r="73" spans="2:16" x14ac:dyDescent="0.25">
      <c r="B73" s="509" t="s">
        <v>42</v>
      </c>
      <c r="C73" s="245" t="s">
        <v>77</v>
      </c>
      <c r="D73" s="248">
        <v>41245.31</v>
      </c>
      <c r="E73" s="248">
        <v>43165.41</v>
      </c>
      <c r="F73" s="248">
        <v>42770.06</v>
      </c>
      <c r="G73" s="248">
        <v>42421.95</v>
      </c>
      <c r="H73" s="248">
        <v>52452.27</v>
      </c>
      <c r="I73" s="248">
        <v>60189.8</v>
      </c>
      <c r="J73" s="248">
        <v>46445.41</v>
      </c>
      <c r="K73" s="248">
        <v>52995.54</v>
      </c>
      <c r="L73" s="248">
        <v>42006.879999999997</v>
      </c>
      <c r="M73" s="248">
        <v>38182.199999999997</v>
      </c>
      <c r="N73" s="248">
        <v>42707.3</v>
      </c>
      <c r="O73" s="248">
        <v>42848.800000000003</v>
      </c>
      <c r="P73" s="249">
        <f t="shared" si="19"/>
        <v>547430.92999999993</v>
      </c>
    </row>
    <row r="74" spans="2:16" x14ac:dyDescent="0.25">
      <c r="B74" s="509"/>
      <c r="C74" s="245" t="s">
        <v>78</v>
      </c>
      <c r="D74" s="248">
        <v>43156</v>
      </c>
      <c r="E74" s="248">
        <v>43324.7</v>
      </c>
      <c r="F74" s="248">
        <v>43001.21</v>
      </c>
      <c r="G74" s="248">
        <v>43629.3</v>
      </c>
      <c r="H74" s="248">
        <v>43683.63</v>
      </c>
      <c r="I74" s="248">
        <v>43790.7</v>
      </c>
      <c r="J74" s="248">
        <v>44076.28</v>
      </c>
      <c r="K74" s="248">
        <v>44763.1</v>
      </c>
      <c r="L74" s="248">
        <v>44336.480000000003</v>
      </c>
      <c r="M74" s="248">
        <v>41648.129999999997</v>
      </c>
      <c r="N74" s="248">
        <v>44340.2</v>
      </c>
      <c r="O74" s="248">
        <v>45009.599999999999</v>
      </c>
      <c r="P74" s="249">
        <f t="shared" si="19"/>
        <v>524759.33000000007</v>
      </c>
    </row>
    <row r="75" spans="2:16" x14ac:dyDescent="0.25">
      <c r="B75" s="509"/>
      <c r="C75" s="245" t="s">
        <v>79</v>
      </c>
      <c r="D75" s="248">
        <v>42190</v>
      </c>
      <c r="E75" s="248">
        <v>41518.879999999997</v>
      </c>
      <c r="F75" s="248">
        <v>41264.589999999997</v>
      </c>
      <c r="G75" s="248">
        <v>41456.57</v>
      </c>
      <c r="H75" s="248">
        <v>42171.1</v>
      </c>
      <c r="I75" s="248">
        <v>42734.2</v>
      </c>
      <c r="J75" s="248">
        <v>43600.4</v>
      </c>
      <c r="K75" s="248">
        <v>43572.95</v>
      </c>
      <c r="L75" s="248">
        <v>43740</v>
      </c>
      <c r="M75" s="248">
        <v>39901.800000000003</v>
      </c>
      <c r="N75" s="248">
        <v>42762.9</v>
      </c>
      <c r="O75" s="248">
        <v>43171.199999999997</v>
      </c>
      <c r="P75" s="249">
        <f t="shared" si="19"/>
        <v>508084.59000000008</v>
      </c>
    </row>
    <row r="76" spans="2:16" x14ac:dyDescent="0.25">
      <c r="B76" s="509"/>
      <c r="C76" s="245" t="s">
        <v>80</v>
      </c>
      <c r="D76" s="248">
        <v>225884.72</v>
      </c>
      <c r="E76" s="248">
        <v>221926.36</v>
      </c>
      <c r="F76" s="248">
        <v>225793.79</v>
      </c>
      <c r="G76" s="248">
        <v>225309.67</v>
      </c>
      <c r="H76" s="248">
        <v>238517.66</v>
      </c>
      <c r="I76" s="248">
        <v>238509.62</v>
      </c>
      <c r="J76" s="248">
        <v>243177.3</v>
      </c>
      <c r="K76" s="248">
        <v>235570.24</v>
      </c>
      <c r="L76" s="248">
        <v>249306.73</v>
      </c>
      <c r="M76" s="248">
        <v>231691.4</v>
      </c>
      <c r="N76" s="248">
        <v>234377.23</v>
      </c>
      <c r="O76" s="248">
        <v>231663.4</v>
      </c>
      <c r="P76" s="249">
        <f t="shared" si="19"/>
        <v>2801728.1199999996</v>
      </c>
    </row>
    <row r="77" spans="2:16" x14ac:dyDescent="0.25">
      <c r="B77" s="509"/>
      <c r="C77" s="245" t="s">
        <v>81</v>
      </c>
      <c r="D77" s="248">
        <v>752591.92</v>
      </c>
      <c r="E77" s="248">
        <v>763134.9</v>
      </c>
      <c r="F77" s="248">
        <v>799173.36</v>
      </c>
      <c r="G77" s="248">
        <v>782044.69</v>
      </c>
      <c r="H77" s="248">
        <v>856996.63</v>
      </c>
      <c r="I77" s="248">
        <v>864057.32</v>
      </c>
      <c r="J77" s="248">
        <v>864797.35</v>
      </c>
      <c r="K77" s="248">
        <v>844776.29</v>
      </c>
      <c r="L77" s="248">
        <v>941844.73</v>
      </c>
      <c r="M77" s="248">
        <v>875503.33</v>
      </c>
      <c r="N77" s="248">
        <v>839371.7</v>
      </c>
      <c r="O77" s="248">
        <v>819368.71</v>
      </c>
      <c r="P77" s="249">
        <f t="shared" si="19"/>
        <v>10003660.93</v>
      </c>
    </row>
    <row r="78" spans="2:16" x14ac:dyDescent="0.25">
      <c r="B78" s="506" t="s">
        <v>75</v>
      </c>
      <c r="C78" s="506"/>
      <c r="D78" s="247">
        <f>SUM(D73:D77)</f>
        <v>1105067.9500000002</v>
      </c>
      <c r="E78" s="247">
        <f t="shared" ref="E78:O78" si="21">SUM(E73:E77)</f>
        <v>1113070.25</v>
      </c>
      <c r="F78" s="247">
        <f t="shared" si="21"/>
        <v>1152003.01</v>
      </c>
      <c r="G78" s="247">
        <f t="shared" si="21"/>
        <v>1134862.18</v>
      </c>
      <c r="H78" s="247">
        <f t="shared" si="21"/>
        <v>1233821.29</v>
      </c>
      <c r="I78" s="247">
        <f t="shared" si="21"/>
        <v>1249281.6399999999</v>
      </c>
      <c r="J78" s="247">
        <f t="shared" si="21"/>
        <v>1242096.74</v>
      </c>
      <c r="K78" s="247">
        <f t="shared" si="21"/>
        <v>1221678.1200000001</v>
      </c>
      <c r="L78" s="247">
        <f t="shared" si="21"/>
        <v>1321234.82</v>
      </c>
      <c r="M78" s="247">
        <f t="shared" si="21"/>
        <v>1226926.8599999999</v>
      </c>
      <c r="N78" s="247">
        <f t="shared" si="21"/>
        <v>1203559.33</v>
      </c>
      <c r="O78" s="247">
        <f t="shared" si="21"/>
        <v>1182061.71</v>
      </c>
      <c r="P78" s="247">
        <f>SUM(D78:O78)</f>
        <v>14385663.899999999</v>
      </c>
    </row>
    <row r="79" spans="2:16" x14ac:dyDescent="0.25">
      <c r="B79" s="509" t="s">
        <v>43</v>
      </c>
      <c r="C79" s="245" t="s">
        <v>77</v>
      </c>
      <c r="D79" s="248">
        <v>385.3</v>
      </c>
      <c r="E79" s="248">
        <v>370.4</v>
      </c>
      <c r="F79" s="248">
        <v>365.5</v>
      </c>
      <c r="G79" s="248">
        <v>395</v>
      </c>
      <c r="H79" s="248">
        <v>347.9</v>
      </c>
      <c r="I79" s="248">
        <v>367.8</v>
      </c>
      <c r="J79" s="248">
        <v>324.8</v>
      </c>
      <c r="K79" s="248">
        <v>333</v>
      </c>
      <c r="L79" s="248">
        <v>307.3</v>
      </c>
      <c r="M79" s="248">
        <v>310.7</v>
      </c>
      <c r="N79" s="248">
        <v>332.9</v>
      </c>
      <c r="O79" s="248">
        <v>371.4</v>
      </c>
      <c r="P79" s="249">
        <f t="shared" si="19"/>
        <v>4212</v>
      </c>
    </row>
    <row r="80" spans="2:16" x14ac:dyDescent="0.25">
      <c r="B80" s="509"/>
      <c r="C80" s="245" t="s">
        <v>78</v>
      </c>
      <c r="D80" s="248">
        <v>533.4</v>
      </c>
      <c r="E80" s="248">
        <v>625.16</v>
      </c>
      <c r="F80" s="248">
        <v>562.87</v>
      </c>
      <c r="G80" s="248">
        <v>609.74</v>
      </c>
      <c r="H80" s="248">
        <v>529.79999999999995</v>
      </c>
      <c r="I80" s="248">
        <v>491.2</v>
      </c>
      <c r="J80" s="248">
        <v>561.20000000000005</v>
      </c>
      <c r="K80" s="248">
        <v>554.20000000000005</v>
      </c>
      <c r="L80" s="248">
        <v>459.2</v>
      </c>
      <c r="M80" s="248">
        <v>497.84</v>
      </c>
      <c r="N80" s="248">
        <v>520</v>
      </c>
      <c r="O80" s="248">
        <v>466.5</v>
      </c>
      <c r="P80" s="249">
        <f t="shared" si="19"/>
        <v>6411.11</v>
      </c>
    </row>
    <row r="81" spans="2:18" x14ac:dyDescent="0.25">
      <c r="B81" s="509"/>
      <c r="C81" s="245" t="s">
        <v>79</v>
      </c>
      <c r="D81" s="248">
        <v>636.79999999999995</v>
      </c>
      <c r="E81" s="248">
        <v>639.79999999999995</v>
      </c>
      <c r="F81" s="248">
        <v>558</v>
      </c>
      <c r="G81" s="248">
        <v>572.1</v>
      </c>
      <c r="H81" s="248">
        <v>591</v>
      </c>
      <c r="I81" s="248">
        <v>846.67</v>
      </c>
      <c r="J81" s="248">
        <v>658.2</v>
      </c>
      <c r="K81" s="248">
        <v>649.14</v>
      </c>
      <c r="L81" s="248">
        <v>631.69000000000005</v>
      </c>
      <c r="M81" s="248">
        <v>516.79999999999995</v>
      </c>
      <c r="N81" s="248">
        <v>607.6</v>
      </c>
      <c r="O81" s="248">
        <v>570</v>
      </c>
      <c r="P81" s="249">
        <f t="shared" si="19"/>
        <v>7477.8</v>
      </c>
    </row>
    <row r="82" spans="2:18" x14ac:dyDescent="0.25">
      <c r="B82" s="509"/>
      <c r="C82" s="245" t="s">
        <v>80</v>
      </c>
      <c r="D82" s="248">
        <v>5464.73</v>
      </c>
      <c r="E82" s="248">
        <v>6383.69</v>
      </c>
      <c r="F82" s="248">
        <v>5182.7</v>
      </c>
      <c r="G82" s="248">
        <v>5656.64</v>
      </c>
      <c r="H82" s="248">
        <v>5505.16</v>
      </c>
      <c r="I82" s="248">
        <v>4844.46</v>
      </c>
      <c r="J82" s="248">
        <v>5354.84</v>
      </c>
      <c r="K82" s="248">
        <v>5632.8</v>
      </c>
      <c r="L82" s="248">
        <v>5812.82</v>
      </c>
      <c r="M82" s="248">
        <v>5654.01</v>
      </c>
      <c r="N82" s="248">
        <v>5554.42</v>
      </c>
      <c r="O82" s="248">
        <v>5410.42</v>
      </c>
      <c r="P82" s="249">
        <f t="shared" si="19"/>
        <v>66456.69</v>
      </c>
    </row>
    <row r="83" spans="2:18" x14ac:dyDescent="0.25">
      <c r="B83" s="509"/>
      <c r="C83" s="245" t="s">
        <v>81</v>
      </c>
      <c r="D83" s="248">
        <v>39321</v>
      </c>
      <c r="E83" s="248">
        <v>35778.68</v>
      </c>
      <c r="F83" s="248">
        <v>41647.300000000003</v>
      </c>
      <c r="G83" s="248">
        <v>39827.730000000003</v>
      </c>
      <c r="H83" s="248">
        <v>43366.79</v>
      </c>
      <c r="I83" s="248">
        <v>39273.339999999997</v>
      </c>
      <c r="J83" s="248">
        <v>83956.84</v>
      </c>
      <c r="K83" s="248">
        <v>49437.2</v>
      </c>
      <c r="L83" s="248">
        <v>49952.94</v>
      </c>
      <c r="M83" s="248">
        <v>56594.720000000001</v>
      </c>
      <c r="N83" s="248">
        <v>53469.24</v>
      </c>
      <c r="O83" s="248">
        <v>42365.81</v>
      </c>
      <c r="P83" s="249">
        <f t="shared" si="19"/>
        <v>574991.59000000008</v>
      </c>
    </row>
    <row r="84" spans="2:18" x14ac:dyDescent="0.25">
      <c r="B84" s="506" t="s">
        <v>75</v>
      </c>
      <c r="C84" s="506"/>
      <c r="D84" s="247">
        <f>SUM(D79:D83)</f>
        <v>46341.229999999996</v>
      </c>
      <c r="E84" s="247">
        <f t="shared" ref="E84:O84" si="22">SUM(E79:E83)</f>
        <v>43797.729999999996</v>
      </c>
      <c r="F84" s="247">
        <f t="shared" si="22"/>
        <v>48316.37</v>
      </c>
      <c r="G84" s="247">
        <f t="shared" si="22"/>
        <v>47061.210000000006</v>
      </c>
      <c r="H84" s="247">
        <f t="shared" si="22"/>
        <v>50340.65</v>
      </c>
      <c r="I84" s="247">
        <f t="shared" si="22"/>
        <v>45823.469999999994</v>
      </c>
      <c r="J84" s="247">
        <f t="shared" si="22"/>
        <v>90855.87999999999</v>
      </c>
      <c r="K84" s="247">
        <f t="shared" si="22"/>
        <v>56606.34</v>
      </c>
      <c r="L84" s="247">
        <f t="shared" si="22"/>
        <v>57163.950000000004</v>
      </c>
      <c r="M84" s="247">
        <f t="shared" si="22"/>
        <v>63574.07</v>
      </c>
      <c r="N84" s="247">
        <f t="shared" si="22"/>
        <v>60484.159999999996</v>
      </c>
      <c r="O84" s="247">
        <f t="shared" si="22"/>
        <v>49184.13</v>
      </c>
      <c r="P84" s="247">
        <f>SUM(D84:O84)</f>
        <v>659549.19000000006</v>
      </c>
    </row>
    <row r="85" spans="2:18" x14ac:dyDescent="0.25">
      <c r="B85" s="509" t="s">
        <v>82</v>
      </c>
      <c r="C85" s="245" t="s">
        <v>77</v>
      </c>
      <c r="D85" s="248">
        <v>406.6</v>
      </c>
      <c r="E85" s="248">
        <v>374</v>
      </c>
      <c r="F85" s="248">
        <v>398.8</v>
      </c>
      <c r="G85" s="248">
        <v>372.8</v>
      </c>
      <c r="H85" s="248">
        <v>380</v>
      </c>
      <c r="I85" s="248">
        <v>318.60000000000002</v>
      </c>
      <c r="J85" s="248">
        <v>324.39999999999998</v>
      </c>
      <c r="K85" s="248">
        <v>302.39999999999998</v>
      </c>
      <c r="L85" s="248">
        <v>283</v>
      </c>
      <c r="M85" s="248">
        <v>248.5</v>
      </c>
      <c r="N85" s="248">
        <v>343.3</v>
      </c>
      <c r="O85" s="248">
        <v>383.4</v>
      </c>
      <c r="P85" s="249">
        <f t="shared" si="19"/>
        <v>4135.8</v>
      </c>
    </row>
    <row r="86" spans="2:18" customFormat="1" x14ac:dyDescent="0.25">
      <c r="B86" s="509"/>
      <c r="C86" s="245" t="s">
        <v>78</v>
      </c>
      <c r="D86" s="248">
        <v>525</v>
      </c>
      <c r="E86" s="248">
        <v>598</v>
      </c>
      <c r="F86" s="248">
        <v>688.2</v>
      </c>
      <c r="G86" s="248">
        <v>538</v>
      </c>
      <c r="H86" s="248">
        <v>473</v>
      </c>
      <c r="I86" s="248">
        <v>485</v>
      </c>
      <c r="J86" s="248">
        <v>542</v>
      </c>
      <c r="K86" s="248">
        <v>507</v>
      </c>
      <c r="L86" s="248">
        <v>370</v>
      </c>
      <c r="M86" s="248">
        <v>475.2</v>
      </c>
      <c r="N86" s="248">
        <v>614.20000000000005</v>
      </c>
      <c r="O86" s="248">
        <v>633</v>
      </c>
      <c r="P86" s="249">
        <f t="shared" si="19"/>
        <v>6448.5999999999995</v>
      </c>
    </row>
    <row r="87" spans="2:18" customFormat="1" x14ac:dyDescent="0.25">
      <c r="B87" s="509"/>
      <c r="C87" s="245" t="s">
        <v>79</v>
      </c>
      <c r="D87" s="248">
        <v>797.6</v>
      </c>
      <c r="E87" s="248">
        <v>828.4</v>
      </c>
      <c r="F87" s="248">
        <v>651.4</v>
      </c>
      <c r="G87" s="248">
        <v>692.4</v>
      </c>
      <c r="H87" s="248">
        <v>670</v>
      </c>
      <c r="I87" s="248">
        <v>697</v>
      </c>
      <c r="J87" s="248">
        <v>616</v>
      </c>
      <c r="K87" s="248">
        <v>581.4</v>
      </c>
      <c r="L87" s="248">
        <v>553.4</v>
      </c>
      <c r="M87" s="248">
        <v>638.4</v>
      </c>
      <c r="N87" s="248">
        <v>736.4</v>
      </c>
      <c r="O87" s="248">
        <v>785</v>
      </c>
      <c r="P87" s="249">
        <f t="shared" si="19"/>
        <v>8247.3999999999978</v>
      </c>
    </row>
    <row r="88" spans="2:18" customFormat="1" x14ac:dyDescent="0.25">
      <c r="B88" s="509"/>
      <c r="C88" s="245" t="s">
        <v>80</v>
      </c>
      <c r="D88" s="248">
        <v>11664</v>
      </c>
      <c r="E88" s="248">
        <v>13926</v>
      </c>
      <c r="F88" s="248">
        <v>11245.4</v>
      </c>
      <c r="G88" s="248">
        <v>10708.6</v>
      </c>
      <c r="H88" s="248">
        <v>11039.6</v>
      </c>
      <c r="I88" s="248">
        <v>10281.6</v>
      </c>
      <c r="J88" s="248">
        <v>10806.4</v>
      </c>
      <c r="K88" s="248">
        <v>10517.8</v>
      </c>
      <c r="L88" s="248">
        <v>10450.799999999999</v>
      </c>
      <c r="M88" s="248">
        <v>10818.8</v>
      </c>
      <c r="N88" s="248">
        <v>10458</v>
      </c>
      <c r="O88" s="248">
        <v>11384.4</v>
      </c>
      <c r="P88" s="249">
        <f t="shared" si="19"/>
        <v>133301.4</v>
      </c>
    </row>
    <row r="89" spans="2:18" customFormat="1" x14ac:dyDescent="0.25">
      <c r="B89" s="509"/>
      <c r="C89" s="245" t="s">
        <v>81</v>
      </c>
      <c r="D89" s="248">
        <v>756218.4</v>
      </c>
      <c r="E89" s="248">
        <v>664250.52</v>
      </c>
      <c r="F89" s="248">
        <v>690347.68</v>
      </c>
      <c r="G89" s="248">
        <v>774913.5</v>
      </c>
      <c r="H89" s="248">
        <v>799682.33</v>
      </c>
      <c r="I89" s="248">
        <v>861432.14</v>
      </c>
      <c r="J89" s="248">
        <v>776990.07</v>
      </c>
      <c r="K89" s="248">
        <v>802789.32</v>
      </c>
      <c r="L89" s="248">
        <v>888190.41</v>
      </c>
      <c r="M89" s="248">
        <v>877225.09</v>
      </c>
      <c r="N89" s="248">
        <v>823920.09</v>
      </c>
      <c r="O89" s="248">
        <v>770256.07</v>
      </c>
      <c r="P89" s="249">
        <f t="shared" si="19"/>
        <v>9486215.620000001</v>
      </c>
      <c r="Q89" s="86"/>
    </row>
    <row r="90" spans="2:18" customFormat="1" x14ac:dyDescent="0.25">
      <c r="B90" s="506" t="s">
        <v>75</v>
      </c>
      <c r="C90" s="506"/>
      <c r="D90" s="247">
        <f>SUM(D85:D89)</f>
        <v>769611.6</v>
      </c>
      <c r="E90" s="247">
        <f t="shared" ref="E90:O90" si="23">SUM(E85:E89)</f>
        <v>679976.92</v>
      </c>
      <c r="F90" s="247">
        <f t="shared" si="23"/>
        <v>703331.4800000001</v>
      </c>
      <c r="G90" s="247">
        <f t="shared" si="23"/>
        <v>787225.3</v>
      </c>
      <c r="H90" s="247">
        <f t="shared" si="23"/>
        <v>812244.92999999993</v>
      </c>
      <c r="I90" s="247">
        <f t="shared" si="23"/>
        <v>873214.34</v>
      </c>
      <c r="J90" s="247">
        <f t="shared" si="23"/>
        <v>789278.87</v>
      </c>
      <c r="K90" s="247">
        <f t="shared" si="23"/>
        <v>814697.91999999993</v>
      </c>
      <c r="L90" s="247">
        <f t="shared" si="23"/>
        <v>899847.61</v>
      </c>
      <c r="M90" s="247">
        <f t="shared" si="23"/>
        <v>889405.99</v>
      </c>
      <c r="N90" s="247">
        <f t="shared" si="23"/>
        <v>836071.99</v>
      </c>
      <c r="O90" s="247">
        <f t="shared" si="23"/>
        <v>783441.87</v>
      </c>
      <c r="P90" s="247">
        <f>SUM(D90:O90)</f>
        <v>9638348.8199999984</v>
      </c>
      <c r="Q90" s="29"/>
    </row>
    <row r="91" spans="2:18" customFormat="1" x14ac:dyDescent="0.25">
      <c r="B91" s="506" t="s">
        <v>83</v>
      </c>
      <c r="C91" s="506"/>
      <c r="D91" s="247">
        <f>D65+D72+D78+D84+D90</f>
        <v>11740103.85</v>
      </c>
      <c r="E91" s="247">
        <f t="shared" ref="E91:O91" si="24">E65+E72+E78+E84+E90</f>
        <v>11343972.200000001</v>
      </c>
      <c r="F91" s="247">
        <f t="shared" si="24"/>
        <v>11679340.68</v>
      </c>
      <c r="G91" s="247">
        <f t="shared" si="24"/>
        <v>11707160.99</v>
      </c>
      <c r="H91" s="247">
        <f t="shared" si="24"/>
        <v>12494623.770000001</v>
      </c>
      <c r="I91" s="247">
        <f t="shared" si="24"/>
        <v>12428402.65</v>
      </c>
      <c r="J91" s="247">
        <f t="shared" si="24"/>
        <v>12368922.530000001</v>
      </c>
      <c r="K91" s="247">
        <f t="shared" si="24"/>
        <v>12109665.620000003</v>
      </c>
      <c r="L91" s="247">
        <f t="shared" si="24"/>
        <v>13144156.439999998</v>
      </c>
      <c r="M91" s="247">
        <f t="shared" si="24"/>
        <v>13270472.950000001</v>
      </c>
      <c r="N91" s="247">
        <f t="shared" si="24"/>
        <v>12055021.600000003</v>
      </c>
      <c r="O91" s="247">
        <f t="shared" si="24"/>
        <v>11802149.030000001</v>
      </c>
      <c r="P91" s="247">
        <f>SUM(D91:O91)</f>
        <v>146143992.31000003</v>
      </c>
      <c r="Q91" s="29"/>
      <c r="R91" s="26"/>
    </row>
    <row r="92" spans="2:18" customFormat="1" x14ac:dyDescent="0.25">
      <c r="B92" s="95" t="s">
        <v>24</v>
      </c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6"/>
    </row>
    <row r="93" spans="2:18" customFormat="1" x14ac:dyDescent="0.25"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6"/>
    </row>
    <row r="94" spans="2:18" customFormat="1" ht="15.75" x14ac:dyDescent="0.25">
      <c r="B94" s="481" t="s">
        <v>89</v>
      </c>
      <c r="C94" s="481"/>
      <c r="D94" s="481"/>
      <c r="E94" s="481"/>
      <c r="F94" s="481"/>
      <c r="G94" s="481"/>
      <c r="H94" s="481"/>
      <c r="I94" s="481"/>
      <c r="J94" s="481"/>
      <c r="K94" s="481"/>
      <c r="L94" s="481"/>
      <c r="M94" s="481"/>
      <c r="N94" s="481"/>
      <c r="O94" s="481"/>
      <c r="P94" s="481"/>
      <c r="Q94" s="29"/>
      <c r="R94" s="26"/>
    </row>
    <row r="95" spans="2:18" customFormat="1" x14ac:dyDescent="0.25">
      <c r="B95" s="243" t="s">
        <v>66</v>
      </c>
      <c r="C95" s="243" t="s">
        <v>67</v>
      </c>
      <c r="D95" s="244">
        <f>D17</f>
        <v>45292</v>
      </c>
      <c r="E95" s="244">
        <f t="shared" ref="E95:O95" si="25">E17</f>
        <v>45323</v>
      </c>
      <c r="F95" s="244">
        <f t="shared" si="25"/>
        <v>45352</v>
      </c>
      <c r="G95" s="244">
        <f t="shared" si="25"/>
        <v>45383</v>
      </c>
      <c r="H95" s="244">
        <f t="shared" si="25"/>
        <v>45413</v>
      </c>
      <c r="I95" s="244">
        <f t="shared" si="25"/>
        <v>45444</v>
      </c>
      <c r="J95" s="244">
        <f t="shared" si="25"/>
        <v>45474</v>
      </c>
      <c r="K95" s="244">
        <f t="shared" si="25"/>
        <v>45505</v>
      </c>
      <c r="L95" s="244">
        <f t="shared" si="25"/>
        <v>45536</v>
      </c>
      <c r="M95" s="244">
        <f t="shared" si="25"/>
        <v>45566</v>
      </c>
      <c r="N95" s="244">
        <f t="shared" si="25"/>
        <v>45597</v>
      </c>
      <c r="O95" s="244">
        <f t="shared" si="25"/>
        <v>45627</v>
      </c>
      <c r="P95" s="244" t="s">
        <v>64</v>
      </c>
      <c r="Q95" s="29"/>
      <c r="R95" s="26"/>
    </row>
    <row r="96" spans="2:18" customFormat="1" x14ac:dyDescent="0.25">
      <c r="B96" s="507" t="s">
        <v>68</v>
      </c>
      <c r="C96" s="245" t="s">
        <v>69</v>
      </c>
      <c r="D96" s="246">
        <f t="shared" ref="D96:O96" si="26">+D18+D59</f>
        <v>3065064.31</v>
      </c>
      <c r="E96" s="246">
        <f t="shared" si="26"/>
        <v>3250558.48</v>
      </c>
      <c r="F96" s="246">
        <f t="shared" si="26"/>
        <v>3146952.0700000003</v>
      </c>
      <c r="G96" s="246">
        <f t="shared" si="26"/>
        <v>3205800.95</v>
      </c>
      <c r="H96" s="246">
        <f t="shared" si="26"/>
        <v>2934596.15</v>
      </c>
      <c r="I96" s="246">
        <f t="shared" si="26"/>
        <v>3070372.21</v>
      </c>
      <c r="J96" s="246">
        <f t="shared" si="26"/>
        <v>3101665.13</v>
      </c>
      <c r="K96" s="246">
        <f t="shared" si="26"/>
        <v>3258731.3600000003</v>
      </c>
      <c r="L96" s="246">
        <f t="shared" si="26"/>
        <v>2823767.65</v>
      </c>
      <c r="M96" s="246">
        <f t="shared" si="26"/>
        <v>2823219.0700000003</v>
      </c>
      <c r="N96" s="246">
        <f t="shared" si="26"/>
        <v>3269431.37</v>
      </c>
      <c r="O96" s="246">
        <f t="shared" si="26"/>
        <v>3245960.19</v>
      </c>
      <c r="P96" s="246">
        <f>SUM(D96:O96)</f>
        <v>37196118.93999999</v>
      </c>
      <c r="Q96" s="29"/>
    </row>
    <row r="97" spans="2:17" customFormat="1" x14ac:dyDescent="0.25">
      <c r="B97" s="507"/>
      <c r="C97" s="245" t="s">
        <v>70</v>
      </c>
      <c r="D97" s="246">
        <f t="shared" ref="D97:O97" si="27">+D19+D60</f>
        <v>7832948.2400000002</v>
      </c>
      <c r="E97" s="246">
        <f t="shared" si="27"/>
        <v>7787815</v>
      </c>
      <c r="F97" s="246">
        <f t="shared" si="27"/>
        <v>7837829.2000000002</v>
      </c>
      <c r="G97" s="246">
        <f t="shared" si="27"/>
        <v>7811898.3900000006</v>
      </c>
      <c r="H97" s="246">
        <f t="shared" si="27"/>
        <v>7851072.0299999993</v>
      </c>
      <c r="I97" s="246">
        <f t="shared" si="27"/>
        <v>7802766.9700000007</v>
      </c>
      <c r="J97" s="246">
        <f t="shared" si="27"/>
        <v>7841853.4100000001</v>
      </c>
      <c r="K97" s="246">
        <f t="shared" si="27"/>
        <v>7757998.96</v>
      </c>
      <c r="L97" s="246">
        <f t="shared" si="27"/>
        <v>7853132.21</v>
      </c>
      <c r="M97" s="246">
        <f t="shared" si="27"/>
        <v>7848329.8900000006</v>
      </c>
      <c r="N97" s="246">
        <f t="shared" si="27"/>
        <v>7898804.9500000002</v>
      </c>
      <c r="O97" s="246">
        <f t="shared" si="27"/>
        <v>7752568.6099999994</v>
      </c>
      <c r="P97" s="246">
        <f t="shared" ref="P97:P126" si="28">SUM(D97:O97)</f>
        <v>93877017.859999999</v>
      </c>
      <c r="Q97" s="29"/>
    </row>
    <row r="98" spans="2:17" customFormat="1" x14ac:dyDescent="0.25">
      <c r="B98" s="507"/>
      <c r="C98" s="245" t="s">
        <v>71</v>
      </c>
      <c r="D98" s="246">
        <f t="shared" ref="D98:O98" si="29">+D20+D61</f>
        <v>5430935.2999999998</v>
      </c>
      <c r="E98" s="246">
        <f t="shared" si="29"/>
        <v>5109975.43</v>
      </c>
      <c r="F98" s="246">
        <f t="shared" si="29"/>
        <v>5440033.8900000006</v>
      </c>
      <c r="G98" s="246">
        <f t="shared" si="29"/>
        <v>5410941.2000000002</v>
      </c>
      <c r="H98" s="246">
        <f t="shared" si="29"/>
        <v>6027453.5</v>
      </c>
      <c r="I98" s="246">
        <f t="shared" si="29"/>
        <v>5804437.2000000002</v>
      </c>
      <c r="J98" s="246">
        <f t="shared" si="29"/>
        <v>5716525.1699999999</v>
      </c>
      <c r="K98" s="246">
        <f t="shared" si="29"/>
        <v>5530577.1299999999</v>
      </c>
      <c r="L98" s="246">
        <f t="shared" si="29"/>
        <v>6523148.5999999996</v>
      </c>
      <c r="M98" s="246">
        <f t="shared" si="29"/>
        <v>6512076.29</v>
      </c>
      <c r="N98" s="246">
        <f t="shared" si="29"/>
        <v>5610098.2000000002</v>
      </c>
      <c r="O98" s="246">
        <f t="shared" si="29"/>
        <v>5241625.8499999996</v>
      </c>
      <c r="P98" s="246">
        <f t="shared" si="28"/>
        <v>68357827.760000005</v>
      </c>
      <c r="Q98" s="29"/>
    </row>
    <row r="99" spans="2:17" customFormat="1" x14ac:dyDescent="0.25">
      <c r="B99" s="507"/>
      <c r="C99" s="245" t="s">
        <v>72</v>
      </c>
      <c r="D99" s="246">
        <f t="shared" ref="D99:O99" si="30">+D21+D62</f>
        <v>2419243.42</v>
      </c>
      <c r="E99" s="246">
        <f t="shared" si="30"/>
        <v>2138882.2000000002</v>
      </c>
      <c r="F99" s="246">
        <f t="shared" si="30"/>
        <v>2376304.7999999998</v>
      </c>
      <c r="G99" s="246">
        <f t="shared" si="30"/>
        <v>2350236.2999999998</v>
      </c>
      <c r="H99" s="246">
        <f t="shared" si="30"/>
        <v>2919724.8</v>
      </c>
      <c r="I99" s="246">
        <f t="shared" si="30"/>
        <v>2787382.79</v>
      </c>
      <c r="J99" s="246">
        <f t="shared" si="30"/>
        <v>2817760.1</v>
      </c>
      <c r="K99" s="246">
        <f t="shared" si="30"/>
        <v>2511687.0499999998</v>
      </c>
      <c r="L99" s="246">
        <f t="shared" si="30"/>
        <v>3364543.2</v>
      </c>
      <c r="M99" s="246">
        <f t="shared" si="30"/>
        <v>3355710.81</v>
      </c>
      <c r="N99" s="246">
        <f t="shared" si="30"/>
        <v>2410530.58</v>
      </c>
      <c r="O99" s="246">
        <f t="shared" si="30"/>
        <v>2241756.4</v>
      </c>
      <c r="P99" s="246">
        <f t="shared" si="28"/>
        <v>31693762.449999996</v>
      </c>
    </row>
    <row r="100" spans="2:17" customFormat="1" x14ac:dyDescent="0.25">
      <c r="B100" s="507"/>
      <c r="C100" s="245" t="s">
        <v>73</v>
      </c>
      <c r="D100" s="246">
        <f t="shared" ref="D100:O100" si="31">+D22+D63</f>
        <v>863237.4</v>
      </c>
      <c r="E100" s="246">
        <f t="shared" si="31"/>
        <v>704145.9</v>
      </c>
      <c r="F100" s="246">
        <f t="shared" si="31"/>
        <v>778412.59000000008</v>
      </c>
      <c r="G100" s="246">
        <f t="shared" si="31"/>
        <v>758471.1</v>
      </c>
      <c r="H100" s="246">
        <f t="shared" si="31"/>
        <v>1025424.6</v>
      </c>
      <c r="I100" s="246">
        <f t="shared" si="31"/>
        <v>1025222.7</v>
      </c>
      <c r="J100" s="246">
        <f t="shared" si="31"/>
        <v>1049356.94</v>
      </c>
      <c r="K100" s="246">
        <f t="shared" si="31"/>
        <v>999486.8</v>
      </c>
      <c r="L100" s="246">
        <f t="shared" si="31"/>
        <v>1298562.4099999999</v>
      </c>
      <c r="M100" s="246">
        <f t="shared" si="31"/>
        <v>1308720.26</v>
      </c>
      <c r="N100" s="246">
        <f t="shared" si="31"/>
        <v>805810.8</v>
      </c>
      <c r="O100" s="246">
        <f t="shared" si="31"/>
        <v>744133.1</v>
      </c>
      <c r="P100" s="246">
        <f t="shared" si="28"/>
        <v>11360984.6</v>
      </c>
      <c r="Q100" s="29"/>
    </row>
    <row r="101" spans="2:17" customFormat="1" x14ac:dyDescent="0.25">
      <c r="B101" s="507"/>
      <c r="C101" s="245" t="s">
        <v>74</v>
      </c>
      <c r="D101" s="246">
        <f t="shared" ref="D101:O101" si="32">+D23+D64</f>
        <v>669548.69999999995</v>
      </c>
      <c r="E101" s="246">
        <f t="shared" si="32"/>
        <v>638419.9</v>
      </c>
      <c r="F101" s="246">
        <f t="shared" si="32"/>
        <v>621163.19999999995</v>
      </c>
      <c r="G101" s="246">
        <f t="shared" si="32"/>
        <v>629440.19999999995</v>
      </c>
      <c r="H101" s="246">
        <f t="shared" si="32"/>
        <v>837306.46</v>
      </c>
      <c r="I101" s="246">
        <f t="shared" si="32"/>
        <v>865965.55</v>
      </c>
      <c r="J101" s="246">
        <f t="shared" si="32"/>
        <v>873305.56</v>
      </c>
      <c r="K101" s="246">
        <f t="shared" si="32"/>
        <v>911598.8</v>
      </c>
      <c r="L101" s="246">
        <f t="shared" si="32"/>
        <v>1050403.3999999999</v>
      </c>
      <c r="M101" s="246">
        <f t="shared" si="32"/>
        <v>1098215.3999999999</v>
      </c>
      <c r="N101" s="246">
        <f t="shared" si="32"/>
        <v>677071.41</v>
      </c>
      <c r="O101" s="246">
        <f t="shared" si="32"/>
        <v>617333.1</v>
      </c>
      <c r="P101" s="246">
        <f t="shared" si="28"/>
        <v>9489771.6799999997</v>
      </c>
      <c r="Q101" s="29"/>
    </row>
    <row r="102" spans="2:17" customFormat="1" x14ac:dyDescent="0.25">
      <c r="B102" s="506" t="s">
        <v>75</v>
      </c>
      <c r="C102" s="506"/>
      <c r="D102" s="247">
        <f>SUM(D96:D101)</f>
        <v>20280977.370000001</v>
      </c>
      <c r="E102" s="247">
        <f t="shared" ref="E102:L102" si="33">SUM(E96:E101)</f>
        <v>19629796.909999996</v>
      </c>
      <c r="F102" s="247">
        <f t="shared" si="33"/>
        <v>20200695.75</v>
      </c>
      <c r="G102" s="247">
        <f t="shared" si="33"/>
        <v>20166788.140000001</v>
      </c>
      <c r="H102" s="247">
        <f t="shared" si="33"/>
        <v>21595577.540000003</v>
      </c>
      <c r="I102" s="247">
        <f t="shared" si="33"/>
        <v>21356147.419999998</v>
      </c>
      <c r="J102" s="247">
        <f t="shared" si="33"/>
        <v>21400466.309999999</v>
      </c>
      <c r="K102" s="247">
        <f t="shared" si="33"/>
        <v>20970080.100000001</v>
      </c>
      <c r="L102" s="247">
        <f t="shared" si="33"/>
        <v>22913557.469999999</v>
      </c>
      <c r="M102" s="247">
        <f>SUM(M96:M101)</f>
        <v>22946271.719999999</v>
      </c>
      <c r="N102" s="247">
        <f t="shared" ref="N102:O102" si="34">SUM(N96:N101)</f>
        <v>20671747.310000002</v>
      </c>
      <c r="O102" s="247">
        <f t="shared" si="34"/>
        <v>19843377.25</v>
      </c>
      <c r="P102" s="247">
        <f>SUM(D102:O102)</f>
        <v>251975483.28999999</v>
      </c>
      <c r="Q102" s="29"/>
    </row>
    <row r="103" spans="2:17" customFormat="1" x14ac:dyDescent="0.25">
      <c r="B103" s="507" t="s">
        <v>76</v>
      </c>
      <c r="C103" s="245" t="s">
        <v>69</v>
      </c>
      <c r="D103" s="246">
        <f t="shared" ref="D103:N103" si="35">+D25+D66</f>
        <v>107793.55</v>
      </c>
      <c r="E103" s="246">
        <f t="shared" si="35"/>
        <v>120997.87</v>
      </c>
      <c r="F103" s="246">
        <f t="shared" si="35"/>
        <v>106450.17</v>
      </c>
      <c r="G103" s="246">
        <f t="shared" si="35"/>
        <v>102011.83</v>
      </c>
      <c r="H103" s="246">
        <f t="shared" si="35"/>
        <v>95693.510000000009</v>
      </c>
      <c r="I103" s="246">
        <f t="shared" si="35"/>
        <v>99256.56</v>
      </c>
      <c r="J103" s="246">
        <f t="shared" si="35"/>
        <v>97990.83</v>
      </c>
      <c r="K103" s="246">
        <f t="shared" si="35"/>
        <v>97113.72</v>
      </c>
      <c r="L103" s="246">
        <f t="shared" si="35"/>
        <v>83682.5</v>
      </c>
      <c r="M103" s="246">
        <f t="shared" si="35"/>
        <v>84326.33</v>
      </c>
      <c r="N103" s="246">
        <f t="shared" si="35"/>
        <v>94059.959999999992</v>
      </c>
      <c r="O103" s="246">
        <f>+O25+O66</f>
        <v>173913.05</v>
      </c>
      <c r="P103" s="246">
        <f t="shared" si="28"/>
        <v>1263289.8799999999</v>
      </c>
      <c r="Q103" s="29"/>
    </row>
    <row r="104" spans="2:17" customFormat="1" x14ac:dyDescent="0.25">
      <c r="B104" s="507"/>
      <c r="C104" s="245" t="s">
        <v>70</v>
      </c>
      <c r="D104" s="246">
        <f t="shared" ref="D104:N104" si="36">+D26+D67</f>
        <v>292746.51</v>
      </c>
      <c r="E104" s="246">
        <f t="shared" si="36"/>
        <v>279076.86</v>
      </c>
      <c r="F104" s="246">
        <f t="shared" si="36"/>
        <v>288964.40000000002</v>
      </c>
      <c r="G104" s="246">
        <f t="shared" si="36"/>
        <v>272254.11</v>
      </c>
      <c r="H104" s="246">
        <f t="shared" si="36"/>
        <v>277417.89</v>
      </c>
      <c r="I104" s="246">
        <f t="shared" si="36"/>
        <v>278973.55</v>
      </c>
      <c r="J104" s="246">
        <f t="shared" si="36"/>
        <v>251400.55</v>
      </c>
      <c r="K104" s="246">
        <f t="shared" si="36"/>
        <v>261625.28</v>
      </c>
      <c r="L104" s="246">
        <f t="shared" si="36"/>
        <v>250153.44</v>
      </c>
      <c r="M104" s="246">
        <f t="shared" si="36"/>
        <v>250659.41</v>
      </c>
      <c r="N104" s="246">
        <f t="shared" si="36"/>
        <v>256740.2</v>
      </c>
      <c r="O104" s="246">
        <f>+O26+O67</f>
        <v>437986.03</v>
      </c>
      <c r="P104" s="246">
        <f t="shared" si="28"/>
        <v>3397998.2300000004</v>
      </c>
      <c r="Q104" s="29"/>
    </row>
    <row r="105" spans="2:17" customFormat="1" x14ac:dyDescent="0.25">
      <c r="B105" s="507"/>
      <c r="C105" s="245" t="s">
        <v>71</v>
      </c>
      <c r="D105" s="246">
        <f t="shared" ref="D105:N105" si="37">+D27+D68</f>
        <v>225298.24</v>
      </c>
      <c r="E105" s="246">
        <f t="shared" si="37"/>
        <v>206499.86</v>
      </c>
      <c r="F105" s="246">
        <f t="shared" si="37"/>
        <v>221701.5</v>
      </c>
      <c r="G105" s="246">
        <f t="shared" si="37"/>
        <v>208333.62</v>
      </c>
      <c r="H105" s="246">
        <f t="shared" si="37"/>
        <v>222465.76</v>
      </c>
      <c r="I105" s="246">
        <f t="shared" si="37"/>
        <v>215802.09</v>
      </c>
      <c r="J105" s="246">
        <f t="shared" si="37"/>
        <v>201242.81</v>
      </c>
      <c r="K105" s="246">
        <f t="shared" si="37"/>
        <v>195061.34</v>
      </c>
      <c r="L105" s="246">
        <f t="shared" si="37"/>
        <v>228306.45</v>
      </c>
      <c r="M105" s="246">
        <f t="shared" si="37"/>
        <v>229713.97</v>
      </c>
      <c r="N105" s="246">
        <f t="shared" si="37"/>
        <v>194969.05</v>
      </c>
      <c r="O105" s="246">
        <f>+O27+O68</f>
        <v>317445.99</v>
      </c>
      <c r="P105" s="246">
        <f t="shared" si="28"/>
        <v>2666840.6799999997</v>
      </c>
      <c r="Q105" s="29"/>
    </row>
    <row r="106" spans="2:17" customFormat="1" x14ac:dyDescent="0.25">
      <c r="B106" s="507"/>
      <c r="C106" s="245" t="s">
        <v>72</v>
      </c>
      <c r="D106" s="246">
        <f t="shared" ref="D106:N106" si="38">+D28+D69</f>
        <v>124139.8</v>
      </c>
      <c r="E106" s="246">
        <f t="shared" si="38"/>
        <v>100241.60000000001</v>
      </c>
      <c r="F106" s="246">
        <f t="shared" si="38"/>
        <v>104696.2</v>
      </c>
      <c r="G106" s="246">
        <f t="shared" si="38"/>
        <v>101991.4</v>
      </c>
      <c r="H106" s="246">
        <f t="shared" si="38"/>
        <v>120233.4</v>
      </c>
      <c r="I106" s="246">
        <f t="shared" si="38"/>
        <v>111550.98000000001</v>
      </c>
      <c r="J106" s="246">
        <f t="shared" si="38"/>
        <v>101534.94</v>
      </c>
      <c r="K106" s="246">
        <f t="shared" si="38"/>
        <v>97836.6</v>
      </c>
      <c r="L106" s="246">
        <f t="shared" si="38"/>
        <v>133495.4</v>
      </c>
      <c r="M106" s="246">
        <f t="shared" si="38"/>
        <v>133309</v>
      </c>
      <c r="N106" s="246">
        <f t="shared" si="38"/>
        <v>98235.6</v>
      </c>
      <c r="O106" s="246">
        <f>+O28+O69</f>
        <v>149664</v>
      </c>
      <c r="P106" s="246">
        <f t="shared" si="28"/>
        <v>1376928.9200000002</v>
      </c>
      <c r="Q106" s="29"/>
    </row>
    <row r="107" spans="2:17" customFormat="1" x14ac:dyDescent="0.25">
      <c r="B107" s="507"/>
      <c r="C107" s="245" t="s">
        <v>73</v>
      </c>
      <c r="D107" s="246">
        <f t="shared" ref="D107:N107" si="39">+D29+D70</f>
        <v>39269.4</v>
      </c>
      <c r="E107" s="246">
        <f t="shared" si="39"/>
        <v>29447.599999999999</v>
      </c>
      <c r="F107" s="246">
        <f t="shared" si="39"/>
        <v>29091.599999999999</v>
      </c>
      <c r="G107" s="246">
        <f t="shared" si="39"/>
        <v>23723</v>
      </c>
      <c r="H107" s="246">
        <f t="shared" si="39"/>
        <v>31832</v>
      </c>
      <c r="I107" s="246">
        <f t="shared" si="39"/>
        <v>30142</v>
      </c>
      <c r="J107" s="246">
        <f t="shared" si="39"/>
        <v>27139.8</v>
      </c>
      <c r="K107" s="246">
        <f t="shared" si="39"/>
        <v>22820</v>
      </c>
      <c r="L107" s="246">
        <f t="shared" si="39"/>
        <v>37275.800000000003</v>
      </c>
      <c r="M107" s="246">
        <f t="shared" si="39"/>
        <v>37011.199999999997</v>
      </c>
      <c r="N107" s="246">
        <f t="shared" si="39"/>
        <v>26105</v>
      </c>
      <c r="O107" s="246">
        <f>+O29+O70</f>
        <v>40087.199999999997</v>
      </c>
      <c r="P107" s="246">
        <f t="shared" si="28"/>
        <v>373944.60000000003</v>
      </c>
      <c r="Q107" s="29"/>
    </row>
    <row r="108" spans="2:17" customFormat="1" x14ac:dyDescent="0.25">
      <c r="B108" s="507"/>
      <c r="C108" s="245" t="s">
        <v>74</v>
      </c>
      <c r="D108" s="246">
        <f t="shared" ref="D108:O108" si="40">+D30+D71</f>
        <v>29095.200000000001</v>
      </c>
      <c r="E108" s="246">
        <f t="shared" si="40"/>
        <v>26367.599999999999</v>
      </c>
      <c r="F108" s="246">
        <f t="shared" si="40"/>
        <v>22897.200000000001</v>
      </c>
      <c r="G108" s="246">
        <f t="shared" si="40"/>
        <v>20527.2</v>
      </c>
      <c r="H108" s="246">
        <f t="shared" si="40"/>
        <v>18741.8</v>
      </c>
      <c r="I108" s="246">
        <f t="shared" si="40"/>
        <v>18398.599999999999</v>
      </c>
      <c r="J108" s="246">
        <f t="shared" si="40"/>
        <v>17554.8</v>
      </c>
      <c r="K108" s="246">
        <f t="shared" si="40"/>
        <v>15564.2</v>
      </c>
      <c r="L108" s="246">
        <f t="shared" si="40"/>
        <v>23860</v>
      </c>
      <c r="M108" s="246">
        <f t="shared" si="40"/>
        <v>23239.4</v>
      </c>
      <c r="N108" s="246">
        <f t="shared" si="40"/>
        <v>23546</v>
      </c>
      <c r="O108" s="246">
        <f t="shared" si="40"/>
        <v>32424.799999999999</v>
      </c>
      <c r="P108" s="246">
        <f t="shared" si="28"/>
        <v>272216.8</v>
      </c>
      <c r="Q108" s="29"/>
    </row>
    <row r="109" spans="2:17" customFormat="1" x14ac:dyDescent="0.25">
      <c r="B109" s="506" t="s">
        <v>75</v>
      </c>
      <c r="C109" s="506"/>
      <c r="D109" s="247">
        <f>SUM(D103:D108)</f>
        <v>818342.70000000007</v>
      </c>
      <c r="E109" s="247">
        <f t="shared" ref="E109" si="41">SUM(E103:E108)</f>
        <v>762631.3899999999</v>
      </c>
      <c r="F109" s="247">
        <f t="shared" ref="F109" si="42">SUM(F103:F108)</f>
        <v>773801.07</v>
      </c>
      <c r="G109" s="247">
        <f t="shared" ref="G109" si="43">SUM(G103:G108)</f>
        <v>728841.16</v>
      </c>
      <c r="H109" s="247">
        <f t="shared" ref="H109" si="44">SUM(H103:H108)</f>
        <v>766384.3600000001</v>
      </c>
      <c r="I109" s="247">
        <f t="shared" ref="I109" si="45">SUM(I103:I108)</f>
        <v>754123.77999999991</v>
      </c>
      <c r="J109" s="247">
        <f t="shared" ref="J109" si="46">SUM(J103:J108)</f>
        <v>696863.73</v>
      </c>
      <c r="K109" s="247">
        <f t="shared" ref="K109" si="47">SUM(K103:K108)</f>
        <v>690021.1399999999</v>
      </c>
      <c r="L109" s="247">
        <f t="shared" ref="L109" si="48">SUM(L103:L108)</f>
        <v>756773.59000000008</v>
      </c>
      <c r="M109" s="247">
        <f t="shared" ref="M109:O109" si="49">SUM(M103:M108)</f>
        <v>758259.30999999994</v>
      </c>
      <c r="N109" s="247">
        <f t="shared" si="49"/>
        <v>693655.80999999994</v>
      </c>
      <c r="O109" s="247">
        <f t="shared" si="49"/>
        <v>1151521.07</v>
      </c>
      <c r="P109" s="247">
        <f>SUM(D109:O109)</f>
        <v>9351219.1099999975</v>
      </c>
      <c r="Q109" s="29"/>
    </row>
    <row r="110" spans="2:17" customFormat="1" x14ac:dyDescent="0.25">
      <c r="B110" s="509" t="s">
        <v>42</v>
      </c>
      <c r="C110" s="245" t="s">
        <v>77</v>
      </c>
      <c r="D110" s="246">
        <f t="shared" ref="D110:N110" si="50">+D32+D73</f>
        <v>85126.31</v>
      </c>
      <c r="E110" s="246">
        <f t="shared" si="50"/>
        <v>88620.41</v>
      </c>
      <c r="F110" s="246">
        <f t="shared" si="50"/>
        <v>87817.06</v>
      </c>
      <c r="G110" s="246">
        <f t="shared" si="50"/>
        <v>87078.95</v>
      </c>
      <c r="H110" s="246">
        <f t="shared" si="50"/>
        <v>96371.26999999999</v>
      </c>
      <c r="I110" s="246">
        <f t="shared" si="50"/>
        <v>104432.8</v>
      </c>
      <c r="J110" s="246">
        <f t="shared" si="50"/>
        <v>90417.41</v>
      </c>
      <c r="K110" s="246">
        <f t="shared" si="50"/>
        <v>97777.540000000008</v>
      </c>
      <c r="L110" s="246">
        <f t="shared" si="50"/>
        <v>82472.88</v>
      </c>
      <c r="M110" s="246">
        <f t="shared" si="50"/>
        <v>82074.2</v>
      </c>
      <c r="N110" s="246">
        <f t="shared" si="50"/>
        <v>88077.3</v>
      </c>
      <c r="O110" s="246">
        <f>+O32+O73</f>
        <v>88384.8</v>
      </c>
      <c r="P110" s="246">
        <f>SUM(D110:O110)</f>
        <v>1078650.9300000002</v>
      </c>
      <c r="Q110" s="29"/>
    </row>
    <row r="111" spans="2:17" customFormat="1" x14ac:dyDescent="0.25">
      <c r="B111" s="509"/>
      <c r="C111" s="245" t="s">
        <v>78</v>
      </c>
      <c r="D111" s="246">
        <f t="shared" ref="D111:N111" si="51">+D33+D74</f>
        <v>89292</v>
      </c>
      <c r="E111" s="246">
        <f t="shared" si="51"/>
        <v>89505.7</v>
      </c>
      <c r="F111" s="246">
        <f t="shared" si="51"/>
        <v>88961.209999999992</v>
      </c>
      <c r="G111" s="246">
        <f t="shared" si="51"/>
        <v>90277.3</v>
      </c>
      <c r="H111" s="246">
        <f t="shared" si="51"/>
        <v>90297.63</v>
      </c>
      <c r="I111" s="246">
        <f t="shared" si="51"/>
        <v>90427.7</v>
      </c>
      <c r="J111" s="246">
        <f t="shared" si="51"/>
        <v>90996.28</v>
      </c>
      <c r="K111" s="246">
        <f t="shared" si="51"/>
        <v>92452.1</v>
      </c>
      <c r="L111" s="246">
        <f t="shared" si="51"/>
        <v>88680.48000000001</v>
      </c>
      <c r="M111" s="246">
        <f t="shared" si="51"/>
        <v>88982.13</v>
      </c>
      <c r="N111" s="246">
        <f t="shared" si="51"/>
        <v>91776.2</v>
      </c>
      <c r="O111" s="246">
        <f>+O33+O74</f>
        <v>93083.6</v>
      </c>
      <c r="P111" s="246">
        <f t="shared" si="28"/>
        <v>1084732.33</v>
      </c>
      <c r="Q111" s="29"/>
    </row>
    <row r="112" spans="2:17" customFormat="1" x14ac:dyDescent="0.25">
      <c r="B112" s="509"/>
      <c r="C112" s="245" t="s">
        <v>79</v>
      </c>
      <c r="D112" s="246">
        <f t="shared" ref="D112:N112" si="52">+D34+D75</f>
        <v>87574</v>
      </c>
      <c r="E112" s="246">
        <f t="shared" si="52"/>
        <v>86427.88</v>
      </c>
      <c r="F112" s="246">
        <f t="shared" si="52"/>
        <v>85669.59</v>
      </c>
      <c r="G112" s="246">
        <f t="shared" si="52"/>
        <v>86011.57</v>
      </c>
      <c r="H112" s="246">
        <f t="shared" si="52"/>
        <v>87408.1</v>
      </c>
      <c r="I112" s="246">
        <f t="shared" si="52"/>
        <v>88620.2</v>
      </c>
      <c r="J112" s="246">
        <f t="shared" si="52"/>
        <v>90389.4</v>
      </c>
      <c r="K112" s="246">
        <f t="shared" si="52"/>
        <v>90480.95</v>
      </c>
      <c r="L112" s="246">
        <f t="shared" si="52"/>
        <v>86793</v>
      </c>
      <c r="M112" s="246">
        <f t="shared" si="52"/>
        <v>86906.8</v>
      </c>
      <c r="N112" s="246">
        <f t="shared" si="52"/>
        <v>88523.9</v>
      </c>
      <c r="O112" s="246">
        <f>+O34+O75</f>
        <v>89343.2</v>
      </c>
      <c r="P112" s="246">
        <f t="shared" si="28"/>
        <v>1054148.5900000001</v>
      </c>
      <c r="Q112" s="29"/>
    </row>
    <row r="113" spans="2:18" customFormat="1" x14ac:dyDescent="0.25">
      <c r="B113" s="509"/>
      <c r="C113" s="245" t="s">
        <v>80</v>
      </c>
      <c r="D113" s="246">
        <f t="shared" ref="D113:N113" si="53">+D35+D76</f>
        <v>471080.72</v>
      </c>
      <c r="E113" s="246">
        <f t="shared" si="53"/>
        <v>463226.36</v>
      </c>
      <c r="F113" s="246">
        <f t="shared" si="53"/>
        <v>471482.79000000004</v>
      </c>
      <c r="G113" s="246">
        <f t="shared" si="53"/>
        <v>470717.67000000004</v>
      </c>
      <c r="H113" s="246">
        <f t="shared" si="53"/>
        <v>498137.66000000003</v>
      </c>
      <c r="I113" s="246">
        <f t="shared" si="53"/>
        <v>498388.62</v>
      </c>
      <c r="J113" s="246">
        <f t="shared" si="53"/>
        <v>507369.3</v>
      </c>
      <c r="K113" s="246">
        <f t="shared" si="53"/>
        <v>492297.24</v>
      </c>
      <c r="L113" s="246">
        <f t="shared" si="53"/>
        <v>502437.73</v>
      </c>
      <c r="M113" s="246">
        <f t="shared" si="53"/>
        <v>503860.4</v>
      </c>
      <c r="N113" s="246">
        <f t="shared" si="53"/>
        <v>489502.23</v>
      </c>
      <c r="O113" s="246">
        <f>+O35+O76</f>
        <v>483794.4</v>
      </c>
      <c r="P113" s="246">
        <f t="shared" si="28"/>
        <v>5852295.120000001</v>
      </c>
      <c r="Q113" s="29"/>
    </row>
    <row r="114" spans="2:18" customFormat="1" x14ac:dyDescent="0.25">
      <c r="B114" s="509"/>
      <c r="C114" s="245" t="s">
        <v>81</v>
      </c>
      <c r="D114" s="246">
        <f t="shared" ref="D114:N114" si="54">+D36+D77</f>
        <v>1539564.92</v>
      </c>
      <c r="E114" s="246">
        <f t="shared" si="54"/>
        <v>1554595.9</v>
      </c>
      <c r="F114" s="246">
        <f t="shared" si="54"/>
        <v>1629897.3599999999</v>
      </c>
      <c r="G114" s="246">
        <f t="shared" si="54"/>
        <v>1595101.69</v>
      </c>
      <c r="H114" s="246">
        <f t="shared" si="54"/>
        <v>1751987.63</v>
      </c>
      <c r="I114" s="246">
        <f t="shared" si="54"/>
        <v>1772241.3199999998</v>
      </c>
      <c r="J114" s="246">
        <f t="shared" si="54"/>
        <v>1775070.35</v>
      </c>
      <c r="K114" s="246">
        <f t="shared" si="54"/>
        <v>1737760.29</v>
      </c>
      <c r="L114" s="246">
        <f t="shared" si="54"/>
        <v>1858366.73</v>
      </c>
      <c r="M114" s="246">
        <f t="shared" si="54"/>
        <v>1862338.33</v>
      </c>
      <c r="N114" s="246">
        <f t="shared" si="54"/>
        <v>1706469.7</v>
      </c>
      <c r="O114" s="246">
        <f>+O36+O77</f>
        <v>1660959.71</v>
      </c>
      <c r="P114" s="246">
        <f t="shared" si="28"/>
        <v>20444353.929999996</v>
      </c>
      <c r="Q114" s="29"/>
    </row>
    <row r="115" spans="2:18" customFormat="1" x14ac:dyDescent="0.25">
      <c r="B115" s="506" t="s">
        <v>75</v>
      </c>
      <c r="C115" s="506"/>
      <c r="D115" s="247">
        <f>SUM(D110:D114)</f>
        <v>2272637.9500000002</v>
      </c>
      <c r="E115" s="247">
        <f t="shared" ref="E115:O115" si="55">SUM(E110:E114)</f>
        <v>2282376.25</v>
      </c>
      <c r="F115" s="247">
        <f t="shared" si="55"/>
        <v>2363828.0099999998</v>
      </c>
      <c r="G115" s="247">
        <f t="shared" si="55"/>
        <v>2329187.1799999997</v>
      </c>
      <c r="H115" s="247">
        <f t="shared" si="55"/>
        <v>2524202.29</v>
      </c>
      <c r="I115" s="247">
        <f t="shared" si="55"/>
        <v>2554110.6399999997</v>
      </c>
      <c r="J115" s="247">
        <f t="shared" si="55"/>
        <v>2554242.7400000002</v>
      </c>
      <c r="K115" s="247">
        <f t="shared" si="55"/>
        <v>2510768.12</v>
      </c>
      <c r="L115" s="247">
        <f t="shared" si="55"/>
        <v>2618750.8199999998</v>
      </c>
      <c r="M115" s="247">
        <f t="shared" si="55"/>
        <v>2624161.8600000003</v>
      </c>
      <c r="N115" s="247">
        <f t="shared" si="55"/>
        <v>2464349.33</v>
      </c>
      <c r="O115" s="247">
        <f t="shared" si="55"/>
        <v>2415565.71</v>
      </c>
      <c r="P115" s="247">
        <f>SUM(D115:O115)</f>
        <v>29514180.900000006</v>
      </c>
      <c r="Q115" s="29"/>
    </row>
    <row r="116" spans="2:18" customFormat="1" x14ac:dyDescent="0.25">
      <c r="B116" s="509" t="s">
        <v>43</v>
      </c>
      <c r="C116" s="245" t="s">
        <v>77</v>
      </c>
      <c r="D116" s="246">
        <f t="shared" ref="D116:O116" si="56">+D38+D79</f>
        <v>819.3</v>
      </c>
      <c r="E116" s="246">
        <f t="shared" si="56"/>
        <v>796.4</v>
      </c>
      <c r="F116" s="246">
        <f t="shared" si="56"/>
        <v>776.5</v>
      </c>
      <c r="G116" s="246">
        <f t="shared" si="56"/>
        <v>836</v>
      </c>
      <c r="H116" s="246">
        <f t="shared" si="56"/>
        <v>763.9</v>
      </c>
      <c r="I116" s="246">
        <f t="shared" si="56"/>
        <v>795.8</v>
      </c>
      <c r="J116" s="246">
        <f t="shared" si="56"/>
        <v>699.8</v>
      </c>
      <c r="K116" s="246">
        <f t="shared" si="56"/>
        <v>716</v>
      </c>
      <c r="L116" s="246">
        <f t="shared" si="56"/>
        <v>670.3</v>
      </c>
      <c r="M116" s="246">
        <f t="shared" si="56"/>
        <v>663.7</v>
      </c>
      <c r="N116" s="246">
        <f t="shared" si="56"/>
        <v>725.9</v>
      </c>
      <c r="O116" s="246">
        <f t="shared" si="56"/>
        <v>811.4</v>
      </c>
      <c r="P116" s="246">
        <f>SUM(D116:O116)</f>
        <v>9075</v>
      </c>
      <c r="Q116" s="29"/>
    </row>
    <row r="117" spans="2:18" x14ac:dyDescent="0.25">
      <c r="B117" s="509"/>
      <c r="C117" s="245" t="s">
        <v>78</v>
      </c>
      <c r="D117" s="246">
        <f t="shared" ref="D117:O117" si="57">+D39+D80</f>
        <v>1155.4000000000001</v>
      </c>
      <c r="E117" s="246">
        <f t="shared" si="57"/>
        <v>1260.1599999999999</v>
      </c>
      <c r="F117" s="246">
        <f t="shared" si="57"/>
        <v>1172.8699999999999</v>
      </c>
      <c r="G117" s="246">
        <f t="shared" si="57"/>
        <v>1253.74</v>
      </c>
      <c r="H117" s="246">
        <f t="shared" si="57"/>
        <v>1125.8</v>
      </c>
      <c r="I117" s="246">
        <f t="shared" si="57"/>
        <v>1069.2</v>
      </c>
      <c r="J117" s="246">
        <f t="shared" si="57"/>
        <v>1205.2</v>
      </c>
      <c r="K117" s="246">
        <f t="shared" si="57"/>
        <v>1200.2</v>
      </c>
      <c r="L117" s="246">
        <f t="shared" si="57"/>
        <v>955.2</v>
      </c>
      <c r="M117" s="246">
        <f t="shared" si="57"/>
        <v>1054.8399999999999</v>
      </c>
      <c r="N117" s="246">
        <f t="shared" si="57"/>
        <v>1103</v>
      </c>
      <c r="O117" s="246">
        <f t="shared" si="57"/>
        <v>1006.5</v>
      </c>
      <c r="P117" s="246">
        <f t="shared" si="28"/>
        <v>13562.110000000002</v>
      </c>
    </row>
    <row r="118" spans="2:18" x14ac:dyDescent="0.25">
      <c r="B118" s="509"/>
      <c r="C118" s="245" t="s">
        <v>79</v>
      </c>
      <c r="D118" s="246">
        <f t="shared" ref="D118:O118" si="58">+D40+D81</f>
        <v>1404.8</v>
      </c>
      <c r="E118" s="246">
        <f t="shared" si="58"/>
        <v>1418.8</v>
      </c>
      <c r="F118" s="246">
        <f t="shared" si="58"/>
        <v>1269</v>
      </c>
      <c r="G118" s="246">
        <f t="shared" si="58"/>
        <v>1291.0999999999999</v>
      </c>
      <c r="H118" s="246">
        <f t="shared" si="58"/>
        <v>1330</v>
      </c>
      <c r="I118" s="246">
        <f t="shared" si="58"/>
        <v>1651.67</v>
      </c>
      <c r="J118" s="246">
        <f t="shared" si="58"/>
        <v>1368.2</v>
      </c>
      <c r="K118" s="246">
        <f t="shared" si="58"/>
        <v>1318.1399999999999</v>
      </c>
      <c r="L118" s="246">
        <f t="shared" si="58"/>
        <v>1228.69</v>
      </c>
      <c r="M118" s="246">
        <f t="shared" si="58"/>
        <v>1159.8</v>
      </c>
      <c r="N118" s="246">
        <f t="shared" si="58"/>
        <v>1392.6</v>
      </c>
      <c r="O118" s="246">
        <f t="shared" si="58"/>
        <v>1277</v>
      </c>
      <c r="P118" s="246">
        <f t="shared" si="28"/>
        <v>16109.8</v>
      </c>
    </row>
    <row r="119" spans="2:18" x14ac:dyDescent="0.25">
      <c r="B119" s="509"/>
      <c r="C119" s="245" t="s">
        <v>80</v>
      </c>
      <c r="D119" s="246">
        <f t="shared" ref="D119:O119" si="59">+D41+D82</f>
        <v>12035.73</v>
      </c>
      <c r="E119" s="246">
        <f t="shared" si="59"/>
        <v>12734.689999999999</v>
      </c>
      <c r="F119" s="246">
        <f t="shared" si="59"/>
        <v>11640.7</v>
      </c>
      <c r="G119" s="246">
        <f t="shared" si="59"/>
        <v>12527.64</v>
      </c>
      <c r="H119" s="246">
        <f t="shared" si="59"/>
        <v>12199.16</v>
      </c>
      <c r="I119" s="246">
        <f t="shared" si="59"/>
        <v>10973.46</v>
      </c>
      <c r="J119" s="246">
        <f t="shared" si="59"/>
        <v>12001.84</v>
      </c>
      <c r="K119" s="246">
        <f t="shared" si="59"/>
        <v>12618.8</v>
      </c>
      <c r="L119" s="246">
        <f t="shared" si="59"/>
        <v>12751.82</v>
      </c>
      <c r="M119" s="246">
        <f t="shared" si="59"/>
        <v>12643.01</v>
      </c>
      <c r="N119" s="246">
        <f t="shared" si="59"/>
        <v>12371.42</v>
      </c>
      <c r="O119" s="246">
        <f t="shared" si="59"/>
        <v>11856.42</v>
      </c>
      <c r="P119" s="246">
        <f t="shared" si="28"/>
        <v>146354.69</v>
      </c>
    </row>
    <row r="120" spans="2:18" x14ac:dyDescent="0.25">
      <c r="B120" s="509"/>
      <c r="C120" s="245" t="s">
        <v>81</v>
      </c>
      <c r="D120" s="246">
        <f t="shared" ref="D120:O120" si="60">+D42+D83</f>
        <v>81439</v>
      </c>
      <c r="E120" s="246">
        <f t="shared" si="60"/>
        <v>75164.679999999993</v>
      </c>
      <c r="F120" s="246">
        <f t="shared" si="60"/>
        <v>87927.3</v>
      </c>
      <c r="G120" s="246">
        <f t="shared" si="60"/>
        <v>81322.73000000001</v>
      </c>
      <c r="H120" s="246">
        <f t="shared" si="60"/>
        <v>93302.790000000008</v>
      </c>
      <c r="I120" s="246">
        <f t="shared" si="60"/>
        <v>85183.34</v>
      </c>
      <c r="J120" s="246">
        <f t="shared" si="60"/>
        <v>127903.84</v>
      </c>
      <c r="K120" s="246">
        <f t="shared" si="60"/>
        <v>99087.2</v>
      </c>
      <c r="L120" s="246">
        <f t="shared" si="60"/>
        <v>104400.94</v>
      </c>
      <c r="M120" s="246">
        <f t="shared" si="60"/>
        <v>105557.72</v>
      </c>
      <c r="N120" s="246">
        <f t="shared" si="60"/>
        <v>102570.23999999999</v>
      </c>
      <c r="O120" s="246">
        <f t="shared" si="60"/>
        <v>83094.81</v>
      </c>
      <c r="P120" s="246">
        <f t="shared" si="28"/>
        <v>1126954.5899999999</v>
      </c>
    </row>
    <row r="121" spans="2:18" x14ac:dyDescent="0.25">
      <c r="B121" s="506" t="s">
        <v>75</v>
      </c>
      <c r="C121" s="506"/>
      <c r="D121" s="247">
        <f>SUM(D116:D120)</f>
        <v>96854.23</v>
      </c>
      <c r="E121" s="247">
        <f t="shared" ref="E121:O121" si="61">SUM(E116:E120)</f>
        <v>91374.73</v>
      </c>
      <c r="F121" s="247">
        <f t="shared" si="61"/>
        <v>102786.37</v>
      </c>
      <c r="G121" s="247">
        <f t="shared" si="61"/>
        <v>97231.21</v>
      </c>
      <c r="H121" s="247">
        <f t="shared" si="61"/>
        <v>108721.65000000001</v>
      </c>
      <c r="I121" s="247">
        <f t="shared" si="61"/>
        <v>99673.47</v>
      </c>
      <c r="J121" s="247">
        <f t="shared" si="61"/>
        <v>143178.88</v>
      </c>
      <c r="K121" s="247">
        <f t="shared" si="61"/>
        <v>114940.34</v>
      </c>
      <c r="L121" s="247">
        <f t="shared" si="61"/>
        <v>120006.95</v>
      </c>
      <c r="M121" s="247">
        <f t="shared" si="61"/>
        <v>121079.07</v>
      </c>
      <c r="N121" s="247">
        <f t="shared" si="61"/>
        <v>118163.15999999999</v>
      </c>
      <c r="O121" s="247">
        <f t="shared" si="61"/>
        <v>98046.13</v>
      </c>
      <c r="P121" s="247">
        <f>SUM(D121:O121)</f>
        <v>1312056.19</v>
      </c>
    </row>
    <row r="122" spans="2:18" x14ac:dyDescent="0.25">
      <c r="B122" s="509" t="s">
        <v>82</v>
      </c>
      <c r="C122" s="245" t="s">
        <v>77</v>
      </c>
      <c r="D122" s="246">
        <f t="shared" ref="D122:O122" si="62">+D44+D85</f>
        <v>991.6</v>
      </c>
      <c r="E122" s="246">
        <f t="shared" si="62"/>
        <v>962</v>
      </c>
      <c r="F122" s="246">
        <f t="shared" si="62"/>
        <v>996.8</v>
      </c>
      <c r="G122" s="246">
        <f t="shared" si="62"/>
        <v>952.8</v>
      </c>
      <c r="H122" s="246">
        <f t="shared" si="62"/>
        <v>934</v>
      </c>
      <c r="I122" s="246">
        <f t="shared" si="62"/>
        <v>809.6</v>
      </c>
      <c r="J122" s="246">
        <f t="shared" si="62"/>
        <v>832.4</v>
      </c>
      <c r="K122" s="246">
        <f t="shared" si="62"/>
        <v>761.4</v>
      </c>
      <c r="L122" s="246">
        <f t="shared" si="62"/>
        <v>685</v>
      </c>
      <c r="M122" s="246">
        <f t="shared" si="62"/>
        <v>669.5</v>
      </c>
      <c r="N122" s="246">
        <f t="shared" si="62"/>
        <v>819.3</v>
      </c>
      <c r="O122" s="246">
        <f t="shared" si="62"/>
        <v>918.4</v>
      </c>
      <c r="P122" s="246">
        <f t="shared" si="28"/>
        <v>10332.799999999997</v>
      </c>
    </row>
    <row r="123" spans="2:18" x14ac:dyDescent="0.25">
      <c r="B123" s="509"/>
      <c r="C123" s="245" t="s">
        <v>78</v>
      </c>
      <c r="D123" s="246">
        <f t="shared" ref="D123:O123" si="63">+D45+D86</f>
        <v>1265</v>
      </c>
      <c r="E123" s="246">
        <f t="shared" si="63"/>
        <v>1391</v>
      </c>
      <c r="F123" s="246">
        <f t="shared" si="63"/>
        <v>1573.2</v>
      </c>
      <c r="G123" s="246">
        <f t="shared" si="63"/>
        <v>1253</v>
      </c>
      <c r="H123" s="246">
        <f t="shared" si="63"/>
        <v>1130</v>
      </c>
      <c r="I123" s="246">
        <f t="shared" si="63"/>
        <v>1166</v>
      </c>
      <c r="J123" s="246">
        <f t="shared" si="63"/>
        <v>1235</v>
      </c>
      <c r="K123" s="246">
        <f t="shared" si="63"/>
        <v>1194</v>
      </c>
      <c r="L123" s="246">
        <f t="shared" si="63"/>
        <v>970</v>
      </c>
      <c r="M123" s="246">
        <f t="shared" si="63"/>
        <v>1031.2</v>
      </c>
      <c r="N123" s="246">
        <f t="shared" si="63"/>
        <v>1364.2</v>
      </c>
      <c r="O123" s="246">
        <f t="shared" si="63"/>
        <v>1415</v>
      </c>
      <c r="P123" s="246">
        <f t="shared" si="28"/>
        <v>14987.600000000002</v>
      </c>
    </row>
    <row r="124" spans="2:18" x14ac:dyDescent="0.25">
      <c r="B124" s="509"/>
      <c r="C124" s="245" t="s">
        <v>79</v>
      </c>
      <c r="D124" s="246">
        <f t="shared" ref="D124:O124" si="64">+D46+D87</f>
        <v>1745.6</v>
      </c>
      <c r="E124" s="246">
        <f t="shared" si="64"/>
        <v>1767.4</v>
      </c>
      <c r="F124" s="246">
        <f t="shared" si="64"/>
        <v>1439.4</v>
      </c>
      <c r="G124" s="246">
        <f t="shared" si="64"/>
        <v>1545.4</v>
      </c>
      <c r="H124" s="246">
        <f t="shared" si="64"/>
        <v>1538</v>
      </c>
      <c r="I124" s="246">
        <f t="shared" si="64"/>
        <v>1535</v>
      </c>
      <c r="J124" s="246">
        <f t="shared" si="64"/>
        <v>1409</v>
      </c>
      <c r="K124" s="246">
        <f t="shared" si="64"/>
        <v>1282.4000000000001</v>
      </c>
      <c r="L124" s="246">
        <f t="shared" si="64"/>
        <v>1387.4</v>
      </c>
      <c r="M124" s="246">
        <f t="shared" si="64"/>
        <v>1390.4</v>
      </c>
      <c r="N124" s="246">
        <f t="shared" si="64"/>
        <v>1659.4</v>
      </c>
      <c r="O124" s="246">
        <f t="shared" si="64"/>
        <v>1757</v>
      </c>
      <c r="P124" s="246">
        <f t="shared" si="28"/>
        <v>18456.399999999998</v>
      </c>
    </row>
    <row r="125" spans="2:18" x14ac:dyDescent="0.25">
      <c r="B125" s="509"/>
      <c r="C125" s="245" t="s">
        <v>80</v>
      </c>
      <c r="D125" s="246">
        <f t="shared" ref="D125:O125" si="65">+D47+D88</f>
        <v>25114</v>
      </c>
      <c r="E125" s="246">
        <f t="shared" si="65"/>
        <v>30285</v>
      </c>
      <c r="F125" s="246">
        <f t="shared" si="65"/>
        <v>24456.400000000001</v>
      </c>
      <c r="G125" s="246">
        <f t="shared" si="65"/>
        <v>23140.6</v>
      </c>
      <c r="H125" s="246">
        <f t="shared" si="65"/>
        <v>23720.6</v>
      </c>
      <c r="I125" s="246">
        <f t="shared" si="65"/>
        <v>22295.599999999999</v>
      </c>
      <c r="J125" s="246">
        <f t="shared" si="65"/>
        <v>23555.4</v>
      </c>
      <c r="K125" s="246">
        <f t="shared" si="65"/>
        <v>22854.799999999999</v>
      </c>
      <c r="L125" s="246">
        <f t="shared" si="65"/>
        <v>23081.8</v>
      </c>
      <c r="M125" s="246">
        <f t="shared" si="65"/>
        <v>22960.799999999999</v>
      </c>
      <c r="N125" s="246">
        <f t="shared" si="65"/>
        <v>22535</v>
      </c>
      <c r="O125" s="246">
        <f t="shared" si="65"/>
        <v>24461.4</v>
      </c>
      <c r="P125" s="246">
        <f t="shared" si="28"/>
        <v>288461.40000000002</v>
      </c>
    </row>
    <row r="126" spans="2:18" x14ac:dyDescent="0.25">
      <c r="B126" s="509"/>
      <c r="C126" s="245" t="s">
        <v>81</v>
      </c>
      <c r="D126" s="246">
        <f t="shared" ref="D126:O126" si="66">+D48+D89</f>
        <v>1568530.4</v>
      </c>
      <c r="E126" s="246">
        <f t="shared" si="66"/>
        <v>1374615.52</v>
      </c>
      <c r="F126" s="246">
        <f t="shared" si="66"/>
        <v>1426512.6800000002</v>
      </c>
      <c r="G126" s="246">
        <f t="shared" si="66"/>
        <v>1604765.5</v>
      </c>
      <c r="H126" s="246">
        <f t="shared" si="66"/>
        <v>1658736.33</v>
      </c>
      <c r="I126" s="246">
        <f t="shared" si="66"/>
        <v>1785983.1400000001</v>
      </c>
      <c r="J126" s="246">
        <f t="shared" si="66"/>
        <v>1618547.0699999998</v>
      </c>
      <c r="K126" s="246">
        <f t="shared" si="66"/>
        <v>1664904.3199999998</v>
      </c>
      <c r="L126" s="246">
        <f t="shared" si="66"/>
        <v>1836084.4100000001</v>
      </c>
      <c r="M126" s="246">
        <f t="shared" si="66"/>
        <v>1836285.0899999999</v>
      </c>
      <c r="N126" s="246">
        <f t="shared" si="66"/>
        <v>1708039.0899999999</v>
      </c>
      <c r="O126" s="246">
        <f t="shared" si="66"/>
        <v>1597987.0699999998</v>
      </c>
      <c r="P126" s="246">
        <f t="shared" si="28"/>
        <v>19680990.620000001</v>
      </c>
      <c r="R126" s="92"/>
    </row>
    <row r="127" spans="2:18" x14ac:dyDescent="0.25">
      <c r="B127" s="506" t="s">
        <v>75</v>
      </c>
      <c r="C127" s="506"/>
      <c r="D127" s="247">
        <f>SUM(D122:D126)</f>
        <v>1597646.5999999999</v>
      </c>
      <c r="E127" s="247">
        <f t="shared" ref="E127:L127" si="67">SUM(E122:E126)</f>
        <v>1409020.92</v>
      </c>
      <c r="F127" s="247">
        <f t="shared" si="67"/>
        <v>1454978.4800000002</v>
      </c>
      <c r="G127" s="247">
        <f t="shared" si="67"/>
        <v>1631657.3</v>
      </c>
      <c r="H127" s="247">
        <f t="shared" si="67"/>
        <v>1686058.9300000002</v>
      </c>
      <c r="I127" s="247">
        <f t="shared" si="67"/>
        <v>1811789.34</v>
      </c>
      <c r="J127" s="247">
        <f t="shared" si="67"/>
        <v>1645578.8699999999</v>
      </c>
      <c r="K127" s="247">
        <f t="shared" si="67"/>
        <v>1690996.92</v>
      </c>
      <c r="L127" s="247">
        <f t="shared" si="67"/>
        <v>1862208.61</v>
      </c>
      <c r="M127" s="247">
        <f>SUM(M122:M126)</f>
        <v>1862336.9899999998</v>
      </c>
      <c r="N127" s="247">
        <f>SUM(N122:N126)</f>
        <v>1734416.9899999998</v>
      </c>
      <c r="O127" s="247">
        <f>SUM(O122:O126)</f>
        <v>1626538.8699999999</v>
      </c>
      <c r="P127" s="247">
        <f>SUM(D127:O127)</f>
        <v>20013228.82</v>
      </c>
      <c r="R127" s="92"/>
    </row>
    <row r="128" spans="2:18" x14ac:dyDescent="0.25">
      <c r="B128" s="506" t="s">
        <v>83</v>
      </c>
      <c r="C128" s="506"/>
      <c r="D128" s="247">
        <f>D102+D109+D115+D121+D127</f>
        <v>25066458.850000001</v>
      </c>
      <c r="E128" s="247">
        <f t="shared" ref="E128:L128" si="68">E102+E109+E115+E121+E127</f>
        <v>24175200.199999996</v>
      </c>
      <c r="F128" s="247">
        <f t="shared" si="68"/>
        <v>24896089.68</v>
      </c>
      <c r="G128" s="247">
        <f t="shared" si="68"/>
        <v>24953704.990000002</v>
      </c>
      <c r="H128" s="247">
        <f t="shared" si="68"/>
        <v>26680944.77</v>
      </c>
      <c r="I128" s="247">
        <f t="shared" si="68"/>
        <v>26575844.649999999</v>
      </c>
      <c r="J128" s="247">
        <f t="shared" si="68"/>
        <v>26440330.530000001</v>
      </c>
      <c r="K128" s="247">
        <f>K102+K109+K115+K121+K127</f>
        <v>25976806.620000005</v>
      </c>
      <c r="L128" s="247">
        <f t="shared" si="68"/>
        <v>28271297.439999998</v>
      </c>
      <c r="M128" s="247">
        <f>M102+M109+M115+M121+M127</f>
        <v>28312108.949999996</v>
      </c>
      <c r="N128" s="247">
        <f>N102+N109+N115+N121+N127</f>
        <v>25682332.600000001</v>
      </c>
      <c r="O128" s="247">
        <f>O102+O109+O115+O121+O127</f>
        <v>25135049.030000001</v>
      </c>
      <c r="P128" s="247">
        <f>SUM(D128:O128)</f>
        <v>312166168.30999994</v>
      </c>
    </row>
    <row r="129" spans="2:18" x14ac:dyDescent="0.25">
      <c r="B129" s="506" t="s">
        <v>87</v>
      </c>
      <c r="C129" s="506"/>
      <c r="D129" s="247">
        <f t="shared" ref="D129:O129" si="69">+D91+D54</f>
        <v>25224590.850000001</v>
      </c>
      <c r="E129" s="247">
        <f t="shared" si="69"/>
        <v>24272244.200000003</v>
      </c>
      <c r="F129" s="247">
        <f t="shared" si="69"/>
        <v>25005885.68</v>
      </c>
      <c r="G129" s="247">
        <f t="shared" si="69"/>
        <v>25078226.990000002</v>
      </c>
      <c r="H129" s="247">
        <f t="shared" si="69"/>
        <v>26797676.770000003</v>
      </c>
      <c r="I129" s="247">
        <f t="shared" si="69"/>
        <v>26776168.649999999</v>
      </c>
      <c r="J129" s="247">
        <f t="shared" si="69"/>
        <v>26535493.530000001</v>
      </c>
      <c r="K129" s="247">
        <f t="shared" si="69"/>
        <v>26107177.620000005</v>
      </c>
      <c r="L129" s="247">
        <f t="shared" si="69"/>
        <v>28451257.439999998</v>
      </c>
      <c r="M129" s="247">
        <f t="shared" si="69"/>
        <v>28460602.950000003</v>
      </c>
      <c r="N129" s="247">
        <f t="shared" si="69"/>
        <v>25879795.600000001</v>
      </c>
      <c r="O129" s="247">
        <f t="shared" si="69"/>
        <v>25271235.030000001</v>
      </c>
      <c r="P129" s="247">
        <f>SUM(D129:O129)</f>
        <v>313860355.31000006</v>
      </c>
    </row>
    <row r="130" spans="2:18" x14ac:dyDescent="0.25">
      <c r="B130" s="95" t="s">
        <v>24</v>
      </c>
      <c r="D130" s="165"/>
      <c r="E130" s="165"/>
      <c r="F130" s="165"/>
      <c r="G130" s="165"/>
      <c r="H130" s="165"/>
      <c r="I130" s="165"/>
      <c r="J130" s="165"/>
      <c r="K130" s="165"/>
      <c r="L130" s="165"/>
      <c r="M130" s="165"/>
      <c r="N130" s="165"/>
      <c r="O130" s="165"/>
      <c r="P130" s="92"/>
      <c r="R130" s="92"/>
    </row>
    <row r="131" spans="2:18" x14ac:dyDescent="0.25">
      <c r="D131" s="168"/>
      <c r="E131" s="168"/>
      <c r="F131" s="168"/>
      <c r="G131" s="168"/>
      <c r="H131" s="168"/>
      <c r="I131" s="168"/>
      <c r="J131" s="168"/>
      <c r="K131" s="168"/>
      <c r="L131" s="168"/>
      <c r="M131" s="168"/>
      <c r="N131" s="168"/>
      <c r="O131" s="168"/>
      <c r="P131" s="92"/>
    </row>
    <row r="134" spans="2:18" hidden="1" x14ac:dyDescent="0.25">
      <c r="D134" s="86"/>
      <c r="E134" s="86"/>
      <c r="F134" s="86"/>
      <c r="G134" s="86"/>
      <c r="H134" s="86"/>
      <c r="I134" s="86"/>
      <c r="J134" s="86"/>
      <c r="K134" s="86"/>
      <c r="L134" s="86"/>
      <c r="M134" s="86"/>
    </row>
    <row r="135" spans="2:18" x14ac:dyDescent="0.25"/>
  </sheetData>
  <mergeCells count="45">
    <mergeCell ref="B127:C127"/>
    <mergeCell ref="B128:C128"/>
    <mergeCell ref="B129:C129"/>
    <mergeCell ref="B110:B114"/>
    <mergeCell ref="B115:C115"/>
    <mergeCell ref="B116:B120"/>
    <mergeCell ref="B121:C121"/>
    <mergeCell ref="B122:B126"/>
    <mergeCell ref="B94:P94"/>
    <mergeCell ref="B96:B101"/>
    <mergeCell ref="B102:C102"/>
    <mergeCell ref="B103:B108"/>
    <mergeCell ref="B109:C109"/>
    <mergeCell ref="B84:C84"/>
    <mergeCell ref="B85:B89"/>
    <mergeCell ref="B90:C90"/>
    <mergeCell ref="B91:C91"/>
    <mergeCell ref="B66:B71"/>
    <mergeCell ref="B72:C72"/>
    <mergeCell ref="B73:B77"/>
    <mergeCell ref="B78:C78"/>
    <mergeCell ref="B79:B83"/>
    <mergeCell ref="B16:P16"/>
    <mergeCell ref="B18:B23"/>
    <mergeCell ref="B24:C24"/>
    <mergeCell ref="B25:B30"/>
    <mergeCell ref="B31:C31"/>
    <mergeCell ref="B17:C17"/>
    <mergeCell ref="B8:P8"/>
    <mergeCell ref="B9:C9"/>
    <mergeCell ref="B10:C10"/>
    <mergeCell ref="B11:C11"/>
    <mergeCell ref="B12:C12"/>
    <mergeCell ref="B54:C54"/>
    <mergeCell ref="B57:P57"/>
    <mergeCell ref="B59:B64"/>
    <mergeCell ref="B65:C65"/>
    <mergeCell ref="B32:B36"/>
    <mergeCell ref="B37:C37"/>
    <mergeCell ref="B38:B42"/>
    <mergeCell ref="B43:C43"/>
    <mergeCell ref="B44:B48"/>
    <mergeCell ref="B50:C50"/>
    <mergeCell ref="B53:C53"/>
    <mergeCell ref="B49:C49"/>
  </mergeCells>
  <pageMargins left="0.511811024" right="0.511811024" top="0.78740157499999996" bottom="0.78740157499999996" header="0.31496062000000002" footer="0.31496062000000002"/>
  <pageSetup paperSize="9"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tabColor theme="3"/>
  </sheetPr>
  <dimension ref="A1:K44"/>
  <sheetViews>
    <sheetView showGridLines="0" zoomScaleNormal="100" workbookViewId="0">
      <selection activeCell="A39" sqref="A39:XFD1048576"/>
    </sheetView>
  </sheetViews>
  <sheetFormatPr defaultColWidth="0" defaultRowHeight="15" zeroHeight="1" x14ac:dyDescent="0.25"/>
  <cols>
    <col min="1" max="1" width="9.140625" customWidth="1"/>
    <col min="2" max="2" width="65.42578125" customWidth="1"/>
    <col min="3" max="3" width="17.85546875" customWidth="1"/>
    <col min="4" max="4" width="16.85546875" bestFit="1" customWidth="1"/>
    <col min="5" max="5" width="29.5703125" style="13" customWidth="1"/>
    <col min="6" max="6" width="32.85546875" style="6" customWidth="1"/>
    <col min="7" max="8" width="27.7109375" style="6" customWidth="1"/>
    <col min="9" max="9" width="27.7109375" customWidth="1"/>
    <col min="10" max="10" width="2.5703125" customWidth="1"/>
    <col min="11" max="11" width="18.5703125" hidden="1" customWidth="1"/>
    <col min="12" max="16384" width="9.140625" hidden="1"/>
  </cols>
  <sheetData>
    <row r="1" spans="2:10" s="6" customFormat="1" ht="3" customHeight="1" x14ac:dyDescent="0.25">
      <c r="E1" s="151"/>
    </row>
    <row r="2" spans="2:10" s="6" customFormat="1" ht="14.25" x14ac:dyDescent="0.25">
      <c r="E2" s="151"/>
    </row>
    <row r="3" spans="2:10" s="112" customFormat="1" ht="18" customHeight="1" x14ac:dyDescent="0.25">
      <c r="E3" s="358"/>
      <c r="G3" s="113"/>
      <c r="H3" s="113"/>
      <c r="I3" s="113"/>
      <c r="J3" s="113"/>
    </row>
    <row r="4" spans="2:10" s="112" customFormat="1" ht="15" customHeight="1" x14ac:dyDescent="0.25">
      <c r="E4" s="358"/>
      <c r="G4" s="113"/>
      <c r="H4" s="113"/>
      <c r="I4" s="113"/>
      <c r="J4" s="113"/>
    </row>
    <row r="5" spans="2:10" s="112" customFormat="1" ht="21" customHeight="1" x14ac:dyDescent="0.25">
      <c r="E5" s="358"/>
      <c r="G5" s="113"/>
      <c r="H5" s="113"/>
      <c r="I5" s="113"/>
      <c r="J5" s="113"/>
    </row>
    <row r="6" spans="2:10" s="6" customFormat="1" ht="18" customHeight="1" x14ac:dyDescent="0.25">
      <c r="E6" s="151"/>
      <c r="G6" s="101"/>
      <c r="H6" s="101"/>
      <c r="I6" s="101"/>
      <c r="J6" s="101"/>
    </row>
    <row r="7" spans="2:10" s="6" customFormat="1" ht="15" customHeight="1" x14ac:dyDescent="0.25">
      <c r="B7" s="111" t="s">
        <v>90</v>
      </c>
      <c r="C7" s="111"/>
      <c r="D7" s="111"/>
      <c r="E7" s="102"/>
      <c r="F7" s="111"/>
      <c r="G7" s="101"/>
      <c r="H7" s="101"/>
    </row>
    <row r="8" spans="2:10" s="6" customFormat="1" ht="15" customHeight="1" x14ac:dyDescent="0.25">
      <c r="E8" s="102"/>
      <c r="F8" s="111"/>
      <c r="G8" s="141"/>
    </row>
    <row r="9" spans="2:10" s="6" customFormat="1" ht="18" customHeight="1" x14ac:dyDescent="0.25">
      <c r="B9" s="27"/>
      <c r="C9" s="28"/>
      <c r="E9" s="151"/>
    </row>
    <row r="10" spans="2:10" s="6" customFormat="1" ht="18" customHeight="1" x14ac:dyDescent="0.25">
      <c r="B10" s="512" t="s">
        <v>91</v>
      </c>
      <c r="C10" s="512"/>
      <c r="E10" s="151"/>
      <c r="I10" s="15"/>
    </row>
    <row r="11" spans="2:10" s="6" customFormat="1" ht="18" customHeight="1" x14ac:dyDescent="0.25">
      <c r="B11" s="254" t="s">
        <v>92</v>
      </c>
      <c r="C11" s="255">
        <f>+Volume_2024!P54</f>
        <v>167716363</v>
      </c>
      <c r="E11" s="151"/>
      <c r="G11" s="14"/>
      <c r="I11" s="14"/>
    </row>
    <row r="12" spans="2:10" s="6" customFormat="1" ht="15" customHeight="1" x14ac:dyDescent="0.25">
      <c r="B12" s="254" t="s">
        <v>93</v>
      </c>
      <c r="C12" s="255">
        <f>+Volume_2024!P91</f>
        <v>146143992.31000003</v>
      </c>
      <c r="E12" s="151"/>
      <c r="G12" s="14"/>
    </row>
    <row r="13" spans="2:10" s="7" customFormat="1" ht="18" customHeight="1" x14ac:dyDescent="0.25">
      <c r="B13" s="256" t="s">
        <v>94</v>
      </c>
      <c r="C13" s="255">
        <f>Volume_2024!P54+Volume_2024!P91</f>
        <v>313860355.31000006</v>
      </c>
      <c r="D13" s="6"/>
      <c r="E13" s="151"/>
      <c r="F13" s="6"/>
      <c r="G13" s="14"/>
    </row>
    <row r="14" spans="2:10" s="6" customFormat="1" ht="18" customHeight="1" x14ac:dyDescent="0.25">
      <c r="B14" s="256" t="s">
        <v>95</v>
      </c>
      <c r="C14" s="255">
        <f>'CF - 2025'!P19</f>
        <v>2393833486.8899999</v>
      </c>
      <c r="E14" s="151"/>
      <c r="G14" s="14"/>
    </row>
    <row r="15" spans="2:10" s="6" customFormat="1" ht="18" customHeight="1" x14ac:dyDescent="0.25">
      <c r="B15" s="235" t="s">
        <v>96</v>
      </c>
      <c r="C15" s="257">
        <f>1%*C14</f>
        <v>23938334.868899997</v>
      </c>
      <c r="E15" s="151"/>
      <c r="G15" s="14"/>
    </row>
    <row r="16" spans="2:10" s="6" customFormat="1" ht="18" customHeight="1" x14ac:dyDescent="0.25">
      <c r="B16" s="196"/>
      <c r="C16" s="197"/>
      <c r="E16" s="359"/>
      <c r="G16" s="14"/>
    </row>
    <row r="17" spans="2:11" s="6" customFormat="1" ht="18" customHeight="1" x14ac:dyDescent="0.25">
      <c r="B17" s="512" t="s">
        <v>97</v>
      </c>
      <c r="C17" s="512"/>
      <c r="E17" s="151"/>
      <c r="G17" s="14"/>
    </row>
    <row r="18" spans="2:11" s="7" customFormat="1" ht="18" customHeight="1" x14ac:dyDescent="0.25">
      <c r="B18" s="254" t="s">
        <v>98</v>
      </c>
      <c r="C18" s="255">
        <f>Volume_2024!P10</f>
        <v>272916587.505</v>
      </c>
      <c r="D18" s="159"/>
      <c r="E18" s="151"/>
      <c r="F18" s="14"/>
      <c r="G18" s="14"/>
      <c r="I18" s="6"/>
      <c r="J18" s="6"/>
    </row>
    <row r="19" spans="2:11" s="6" customFormat="1" ht="15" customHeight="1" x14ac:dyDescent="0.25">
      <c r="B19" s="254" t="s">
        <v>99</v>
      </c>
      <c r="C19" s="255">
        <f>Volume_2024!P11</f>
        <v>137592560.48000002</v>
      </c>
      <c r="D19" s="159"/>
      <c r="E19" s="360"/>
      <c r="F19" s="153"/>
      <c r="G19" s="154"/>
    </row>
    <row r="20" spans="2:11" s="6" customFormat="1" ht="18" customHeight="1" x14ac:dyDescent="0.25">
      <c r="B20" s="256" t="s">
        <v>100</v>
      </c>
      <c r="C20" s="255">
        <f>SUM(C18:C19)</f>
        <v>410509147.98500001</v>
      </c>
      <c r="E20" s="360"/>
    </row>
    <row r="21" spans="2:11" s="6" customFormat="1" ht="18" customHeight="1" x14ac:dyDescent="0.25">
      <c r="B21" s="256" t="s">
        <v>101</v>
      </c>
      <c r="C21" s="255">
        <f>'CF - 2025'!P20</f>
        <v>3123477962.6831598</v>
      </c>
      <c r="E21" s="151"/>
      <c r="F21" s="14"/>
    </row>
    <row r="22" spans="2:11" s="6" customFormat="1" ht="18" customHeight="1" x14ac:dyDescent="0.25">
      <c r="B22" s="258" t="s">
        <v>102</v>
      </c>
      <c r="C22" s="257">
        <f>2.5%*C21</f>
        <v>78086949.067078993</v>
      </c>
      <c r="E22" s="359"/>
      <c r="F22" s="14"/>
    </row>
    <row r="23" spans="2:11" s="6" customFormat="1" ht="18" customHeight="1" x14ac:dyDescent="0.25">
      <c r="B23" s="147"/>
      <c r="C23" s="148"/>
      <c r="E23" s="151"/>
      <c r="G23" s="155"/>
      <c r="H23" s="14"/>
    </row>
    <row r="24" spans="2:11" s="6" customFormat="1" ht="18" customHeight="1" x14ac:dyDescent="0.25">
      <c r="B24" s="200" t="s">
        <v>103</v>
      </c>
      <c r="C24" s="200" t="s">
        <v>104</v>
      </c>
      <c r="E24" s="151"/>
      <c r="F24" s="151"/>
      <c r="G24" s="156"/>
      <c r="H24" s="151"/>
      <c r="I24" s="151"/>
      <c r="J24" s="151"/>
      <c r="K24" s="151"/>
    </row>
    <row r="25" spans="2:11" s="6" customFormat="1" x14ac:dyDescent="0.25">
      <c r="B25" s="259" t="s">
        <v>105</v>
      </c>
      <c r="C25" s="260">
        <f>C15</f>
        <v>23938334.868899997</v>
      </c>
      <c r="E25" s="361"/>
      <c r="F25" s="14"/>
      <c r="G25" s="14"/>
    </row>
    <row r="26" spans="2:11" s="6" customFormat="1" ht="15" customHeight="1" x14ac:dyDescent="0.25">
      <c r="B26" s="259" t="s">
        <v>106</v>
      </c>
      <c r="C26" s="260">
        <f>C22</f>
        <v>78086949.067078993</v>
      </c>
      <c r="E26" s="361"/>
      <c r="F26" s="14"/>
      <c r="G26" s="14"/>
      <c r="H26" s="157"/>
      <c r="K26" s="14"/>
    </row>
    <row r="27" spans="2:11" s="6" customFormat="1" ht="15" customHeight="1" x14ac:dyDescent="0.25">
      <c r="B27" s="259" t="s">
        <v>107</v>
      </c>
      <c r="C27" s="260">
        <v>60000</v>
      </c>
      <c r="E27" s="82"/>
      <c r="H27" s="152"/>
      <c r="K27" s="14"/>
    </row>
    <row r="28" spans="2:11" s="6" customFormat="1" ht="15" customHeight="1" x14ac:dyDescent="0.25">
      <c r="B28" s="226" t="s">
        <v>108</v>
      </c>
      <c r="C28" s="307">
        <v>10500000</v>
      </c>
      <c r="D28" s="194"/>
      <c r="E28" s="82"/>
      <c r="H28" s="152"/>
      <c r="K28" s="14"/>
    </row>
    <row r="29" spans="2:11" s="6" customFormat="1" x14ac:dyDescent="0.25">
      <c r="B29" s="226" t="s">
        <v>109</v>
      </c>
      <c r="C29" s="307">
        <v>3000000</v>
      </c>
      <c r="D29" s="194"/>
      <c r="E29" s="151"/>
      <c r="H29" s="152"/>
      <c r="K29" s="14"/>
    </row>
    <row r="30" spans="2:11" s="6" customFormat="1" x14ac:dyDescent="0.25">
      <c r="B30" s="226" t="s">
        <v>110</v>
      </c>
      <c r="C30" s="307">
        <f>($E$31*0.2%)</f>
        <v>4227969.7001999998</v>
      </c>
      <c r="D30" s="194"/>
      <c r="E30" s="267" t="s">
        <v>111</v>
      </c>
      <c r="H30" s="152"/>
      <c r="K30" s="14"/>
    </row>
    <row r="31" spans="2:11" s="6" customFormat="1" x14ac:dyDescent="0.25">
      <c r="B31" s="226" t="s">
        <v>112</v>
      </c>
      <c r="C31" s="307">
        <f>($E$31*0.2%)</f>
        <v>4227969.7001999998</v>
      </c>
      <c r="D31" s="194"/>
      <c r="E31" s="362">
        <v>2113984850.0999999</v>
      </c>
      <c r="H31" s="152"/>
      <c r="K31" s="14"/>
    </row>
    <row r="32" spans="2:11" s="6" customFormat="1" ht="15" customHeight="1" x14ac:dyDescent="0.25">
      <c r="B32" s="200" t="s">
        <v>113</v>
      </c>
      <c r="C32" s="261">
        <f>C25+C26+C27+C28+C29+C30+C31</f>
        <v>124041223.33637901</v>
      </c>
      <c r="E32" s="151"/>
      <c r="H32" s="152"/>
      <c r="K32" s="14"/>
    </row>
    <row r="33" spans="2:11" s="6" customFormat="1" x14ac:dyDescent="0.25">
      <c r="B33" s="27"/>
      <c r="C33" s="28"/>
      <c r="E33" s="151"/>
      <c r="F33" s="104"/>
      <c r="G33" s="82"/>
      <c r="H33" s="152"/>
      <c r="K33" s="14"/>
    </row>
    <row r="34" spans="2:11" s="6" customFormat="1" ht="15" customHeight="1" x14ac:dyDescent="0.25">
      <c r="B34" s="262" t="s">
        <v>114</v>
      </c>
      <c r="C34" s="263" t="s">
        <v>115</v>
      </c>
      <c r="D34" s="309">
        <f>C32</f>
        <v>124041223.33637901</v>
      </c>
      <c r="E34" s="151"/>
      <c r="H34" s="152"/>
      <c r="K34" s="14"/>
    </row>
    <row r="35" spans="2:11" s="6" customFormat="1" ht="15" customHeight="1" x14ac:dyDescent="0.25">
      <c r="B35" s="262" t="s">
        <v>53</v>
      </c>
      <c r="C35" s="263" t="s">
        <v>116</v>
      </c>
      <c r="D35" s="309">
        <f>Volume_2024!P129</f>
        <v>313860355.31000006</v>
      </c>
      <c r="E35" s="151"/>
      <c r="H35" s="152"/>
      <c r="K35" s="14"/>
    </row>
    <row r="36" spans="2:11" s="6" customFormat="1" ht="15" customHeight="1" x14ac:dyDescent="0.25">
      <c r="B36" s="206" t="s">
        <v>117</v>
      </c>
      <c r="C36" s="265" t="s">
        <v>118</v>
      </c>
      <c r="D36" s="266">
        <f>D34/D35</f>
        <v>0.39521150485496459</v>
      </c>
      <c r="E36" s="151"/>
      <c r="H36" s="152"/>
      <c r="K36" s="14"/>
    </row>
    <row r="37" spans="2:11" s="6" customFormat="1" ht="15" customHeight="1" x14ac:dyDescent="0.25">
      <c r="B37"/>
      <c r="C37"/>
      <c r="D37"/>
      <c r="E37" s="151"/>
      <c r="H37" s="152"/>
      <c r="K37" s="14"/>
    </row>
    <row r="38" spans="2:11" s="6" customFormat="1" ht="15" customHeight="1" x14ac:dyDescent="0.25">
      <c r="B38"/>
      <c r="C38"/>
      <c r="D38"/>
      <c r="E38" s="151"/>
    </row>
    <row r="39" spans="2:11" s="6" customFormat="1" hidden="1" x14ac:dyDescent="0.25">
      <c r="B39"/>
      <c r="C39"/>
      <c r="D39"/>
      <c r="E39" s="151"/>
    </row>
    <row r="40" spans="2:11" s="6" customFormat="1" ht="9" hidden="1" customHeight="1" x14ac:dyDescent="0.25">
      <c r="B40"/>
      <c r="C40"/>
      <c r="D40"/>
      <c r="E40" s="151"/>
      <c r="H40"/>
    </row>
    <row r="41" spans="2:11" s="6" customFormat="1" hidden="1" x14ac:dyDescent="0.25">
      <c r="B41"/>
      <c r="C41"/>
      <c r="D41"/>
      <c r="E41" s="13"/>
      <c r="G41" s="16"/>
      <c r="H41" s="16"/>
    </row>
    <row r="42" spans="2:11" s="6" customFormat="1" ht="15" hidden="1" customHeight="1" x14ac:dyDescent="0.25">
      <c r="B42"/>
      <c r="C42"/>
      <c r="D42"/>
      <c r="E42" s="13"/>
      <c r="G42" s="20"/>
      <c r="H42" s="16"/>
      <c r="K42"/>
    </row>
    <row r="43" spans="2:11" hidden="1" x14ac:dyDescent="0.25">
      <c r="F43"/>
    </row>
    <row r="44" spans="2:11" hidden="1" x14ac:dyDescent="0.25">
      <c r="F44"/>
    </row>
  </sheetData>
  <mergeCells count="2">
    <mergeCell ref="B10:C10"/>
    <mergeCell ref="B17:C17"/>
  </mergeCells>
  <phoneticPr fontId="31" type="noConversion"/>
  <pageMargins left="0.511811024" right="0.511811024" top="0.78740157499999996" bottom="0.78740157499999996" header="0.31496062000000002" footer="0.31496062000000002"/>
  <pageSetup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DAB84-9B60-4FC5-9826-8C5FC1F35B68}">
  <sheetPr>
    <tabColor theme="3"/>
  </sheetPr>
  <dimension ref="A1:M43"/>
  <sheetViews>
    <sheetView showGridLines="0" zoomScaleNormal="100" workbookViewId="0">
      <selection activeCell="H16" sqref="H16"/>
    </sheetView>
  </sheetViews>
  <sheetFormatPr defaultColWidth="0" defaultRowHeight="15" zeroHeight="1" x14ac:dyDescent="0.25"/>
  <cols>
    <col min="1" max="1" width="9.140625" style="1" customWidth="1"/>
    <col min="2" max="2" width="40.85546875" style="1" bestFit="1" customWidth="1"/>
    <col min="3" max="3" width="19.7109375" style="1" bestFit="1" customWidth="1"/>
    <col min="4" max="4" width="19.140625" style="1" bestFit="1" customWidth="1"/>
    <col min="5" max="5" width="14" style="1" customWidth="1"/>
    <col min="6" max="6" width="13.5703125" style="1" customWidth="1"/>
    <col min="7" max="7" width="18.140625" style="1" customWidth="1"/>
    <col min="8" max="8" width="29" style="1" customWidth="1"/>
    <col min="9" max="10" width="29" customWidth="1"/>
    <col min="11" max="11" width="20.5703125" customWidth="1"/>
    <col min="12" max="12" width="18.5703125" customWidth="1"/>
    <col min="13" max="13" width="20.85546875" hidden="1" customWidth="1"/>
    <col min="14" max="16384" width="1.42578125" hidden="1"/>
  </cols>
  <sheetData>
    <row r="1" spans="1:12" s="1" customFormat="1" ht="3" customHeight="1" x14ac:dyDescent="0.2"/>
    <row r="2" spans="1:12" s="1" customFormat="1" ht="15" customHeight="1" x14ac:dyDescent="0.2"/>
    <row r="3" spans="1:12" s="1" customFormat="1" ht="15" customHeight="1" x14ac:dyDescent="0.2">
      <c r="A3" s="124"/>
      <c r="B3" s="124"/>
      <c r="C3" s="125"/>
      <c r="D3" s="125"/>
      <c r="E3" s="125"/>
      <c r="F3" s="125"/>
      <c r="G3" s="125"/>
      <c r="H3" s="125"/>
      <c r="I3" s="124"/>
      <c r="J3" s="124"/>
      <c r="K3" s="124"/>
      <c r="L3" s="124"/>
    </row>
    <row r="4" spans="1:12" s="1" customFormat="1" ht="15" customHeight="1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s="1" customFormat="1" ht="20.100000000000001" customHeight="1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s="1" customFormat="1" ht="15" customHeight="1" x14ac:dyDescent="0.2"/>
    <row r="7" spans="1:12" s="1" customFormat="1" ht="15" customHeight="1" x14ac:dyDescent="0.2">
      <c r="B7" s="111" t="s">
        <v>119</v>
      </c>
      <c r="C7" s="2"/>
      <c r="D7" s="2"/>
      <c r="E7" s="2"/>
      <c r="F7" s="2"/>
    </row>
    <row r="8" spans="1:12" s="1" customFormat="1" ht="15" customHeight="1" x14ac:dyDescent="0.2">
      <c r="B8" s="513"/>
      <c r="C8" s="513"/>
      <c r="D8" s="513"/>
      <c r="E8" s="513"/>
      <c r="F8" s="513"/>
    </row>
    <row r="9" spans="1:12" s="1" customFormat="1" ht="15" customHeight="1" x14ac:dyDescent="0.25">
      <c r="B9" s="491" t="s">
        <v>120</v>
      </c>
      <c r="C9" s="491"/>
      <c r="D9" s="491"/>
      <c r="E9" s="491"/>
      <c r="F9" s="491"/>
      <c r="G9" s="491"/>
    </row>
    <row r="10" spans="1:12" s="1" customFormat="1" ht="15" customHeight="1" x14ac:dyDescent="0.2">
      <c r="B10" s="492" t="s">
        <v>26</v>
      </c>
      <c r="C10" s="492"/>
      <c r="D10" s="220" t="s">
        <v>121</v>
      </c>
      <c r="E10" s="220" t="s">
        <v>122</v>
      </c>
      <c r="F10" s="220" t="s">
        <v>123</v>
      </c>
      <c r="G10" s="220" t="s">
        <v>124</v>
      </c>
    </row>
    <row r="11" spans="1:12" s="8" customFormat="1" ht="15" customHeight="1" x14ac:dyDescent="0.25">
      <c r="B11" s="221" t="s">
        <v>125</v>
      </c>
      <c r="C11" s="222" t="s">
        <v>126</v>
      </c>
      <c r="D11" s="223">
        <f>'4ª RTP'!E26</f>
        <v>652383793.29318869</v>
      </c>
      <c r="E11" s="224">
        <f>D11/$D$16</f>
        <v>0.32396073206075415</v>
      </c>
      <c r="F11" s="224">
        <f>Índices_2024!E23</f>
        <v>4.7681149834501557E-2</v>
      </c>
      <c r="G11" s="225">
        <f>E11*F11</f>
        <v>1.5446820205883631E-2</v>
      </c>
      <c r="H11" s="89"/>
      <c r="I11" s="171"/>
    </row>
    <row r="12" spans="1:12" s="8" customFormat="1" ht="15" customHeight="1" x14ac:dyDescent="0.25">
      <c r="B12" s="221" t="s">
        <v>127</v>
      </c>
      <c r="C12" s="222" t="s">
        <v>128</v>
      </c>
      <c r="D12" s="223">
        <f>'4ª RTP'!E32</f>
        <v>208041454.10000002</v>
      </c>
      <c r="E12" s="224">
        <f t="shared" ref="E12:E14" si="0">D12/$D$16</f>
        <v>0.10330922144617209</v>
      </c>
      <c r="F12" s="224">
        <f>Índices_2024!H52</f>
        <v>5.5823770078253787E-3</v>
      </c>
      <c r="G12" s="225">
        <f>E12*F12</f>
        <v>5.7671102249745164E-4</v>
      </c>
      <c r="H12" s="89"/>
      <c r="I12" s="171"/>
    </row>
    <row r="13" spans="1:12" s="8" customFormat="1" ht="15" customHeight="1" x14ac:dyDescent="0.25">
      <c r="B13" s="221" t="s">
        <v>129</v>
      </c>
      <c r="C13" s="222" t="s">
        <v>130</v>
      </c>
      <c r="D13" s="223">
        <f>'4ª RTP'!E28</f>
        <v>126277424.02000003</v>
      </c>
      <c r="E13" s="224">
        <f t="shared" si="0"/>
        <v>6.2706840894621252E-2</v>
      </c>
      <c r="F13" s="224">
        <f>Índices_2024!G23</f>
        <v>6.5378374339010392E-2</v>
      </c>
      <c r="G13" s="225">
        <f>E13*F13</f>
        <v>4.0996713176253132E-3</v>
      </c>
      <c r="H13" s="89"/>
      <c r="I13" s="171"/>
    </row>
    <row r="14" spans="1:12" s="8" customFormat="1" ht="15" customHeight="1" x14ac:dyDescent="0.25">
      <c r="B14" s="226" t="s">
        <v>131</v>
      </c>
      <c r="C14" s="227" t="s">
        <v>132</v>
      </c>
      <c r="D14" s="228">
        <f>'4ª RTP'!E36</f>
        <v>667378494.50257242</v>
      </c>
      <c r="E14" s="224">
        <f t="shared" si="0"/>
        <v>0.33140680051120247</v>
      </c>
      <c r="F14" s="224">
        <f>Índices_2024!G23</f>
        <v>6.5378374339010392E-2</v>
      </c>
      <c r="G14" s="225">
        <f>E14*F14</f>
        <v>2.1666837862315137E-2</v>
      </c>
      <c r="H14" s="89"/>
      <c r="I14" s="171"/>
    </row>
    <row r="15" spans="1:12" s="8" customFormat="1" ht="15" customHeight="1" x14ac:dyDescent="0.25">
      <c r="B15" s="226" t="s">
        <v>133</v>
      </c>
      <c r="C15" s="227" t="s">
        <v>134</v>
      </c>
      <c r="D15" s="223">
        <f>SUM('4ª RTP'!E27,'4ª RTP'!E29,'4ª RTP'!E30,'4ª RTP'!E31,'4ª RTP'!E34)</f>
        <v>359693124.39187902</v>
      </c>
      <c r="E15" s="224">
        <f>D15/$D$16</f>
        <v>0.1786164050872501</v>
      </c>
      <c r="F15" s="229">
        <f>Índices_2024!F23</f>
        <v>4.8311967483947837E-2</v>
      </c>
      <c r="G15" s="225">
        <f>E15*F15</f>
        <v>8.6293099546748825E-3</v>
      </c>
      <c r="H15" s="89"/>
      <c r="I15" s="171"/>
    </row>
    <row r="16" spans="1:12" s="8" customFormat="1" ht="15" customHeight="1" x14ac:dyDescent="0.25">
      <c r="B16" s="226"/>
      <c r="C16" s="230" t="s">
        <v>64</v>
      </c>
      <c r="D16" s="231">
        <f>SUM(D11:D15)</f>
        <v>2013774290.3076401</v>
      </c>
      <c r="E16" s="224">
        <f>SUM(E11:E15)</f>
        <v>1</v>
      </c>
      <c r="F16" s="232"/>
      <c r="G16" s="232">
        <f>SUM(G11:G15)</f>
        <v>5.0419350362996412E-2</v>
      </c>
    </row>
    <row r="17" spans="1:11" s="8" customFormat="1" ht="25.5" customHeight="1" x14ac:dyDescent="0.25">
      <c r="B17" s="492" t="s">
        <v>135</v>
      </c>
      <c r="C17" s="492"/>
      <c r="D17" s="492"/>
      <c r="E17" s="492"/>
      <c r="F17" s="492"/>
      <c r="G17" s="233">
        <f>SUM(G11:G15)</f>
        <v>5.0419350362996412E-2</v>
      </c>
      <c r="H17" s="89"/>
    </row>
    <row r="18" spans="1:11" s="8" customFormat="1" ht="15" customHeight="1" x14ac:dyDescent="0.25">
      <c r="B18" s="95" t="s">
        <v>136</v>
      </c>
      <c r="C18" s="114" t="s">
        <v>137</v>
      </c>
      <c r="D18" s="115"/>
      <c r="E18" s="308">
        <f>SUM(E13:E14)</f>
        <v>0.39411364140582372</v>
      </c>
      <c r="F18" s="137"/>
      <c r="G18" s="169"/>
    </row>
    <row r="19" spans="1:11" s="8" customFormat="1" ht="15" customHeight="1" x14ac:dyDescent="0.2">
      <c r="B19" s="138"/>
      <c r="C19" s="138"/>
      <c r="D19" s="115"/>
      <c r="E19" s="138"/>
      <c r="F19" s="138"/>
      <c r="G19" s="170"/>
      <c r="H19" s="171"/>
      <c r="J19" s="8" t="s">
        <v>138</v>
      </c>
    </row>
    <row r="20" spans="1:11" s="8" customFormat="1" ht="15" customHeight="1" x14ac:dyDescent="0.2">
      <c r="B20" s="492" t="s">
        <v>139</v>
      </c>
      <c r="C20" s="514"/>
      <c r="D20" s="138"/>
      <c r="E20" s="136"/>
      <c r="F20" s="136"/>
      <c r="G20" s="179"/>
      <c r="H20" s="81"/>
      <c r="I20" s="81"/>
      <c r="J20" s="81"/>
      <c r="K20" s="81"/>
    </row>
    <row r="21" spans="1:11" s="8" customFormat="1" ht="15" customHeight="1" x14ac:dyDescent="0.2">
      <c r="B21" s="234" t="s">
        <v>140</v>
      </c>
      <c r="C21" s="224">
        <f>+G17</f>
        <v>5.0419350362996412E-2</v>
      </c>
      <c r="D21" s="181"/>
      <c r="E21" s="139"/>
      <c r="F21" s="139"/>
      <c r="G21" s="139"/>
      <c r="H21" s="81"/>
      <c r="I21" s="81"/>
      <c r="J21" s="81"/>
      <c r="K21" s="81"/>
    </row>
    <row r="22" spans="1:11" s="8" customFormat="1" ht="15" customHeight="1" x14ac:dyDescent="0.25">
      <c r="B22" s="234" t="s">
        <v>141</v>
      </c>
      <c r="C22" s="229">
        <v>1.06962318749912E-2</v>
      </c>
      <c r="D22" s="180"/>
      <c r="E22" s="139"/>
      <c r="F22" s="139"/>
      <c r="G22" s="139"/>
      <c r="H22" s="81"/>
      <c r="I22" s="81"/>
      <c r="J22" s="81"/>
      <c r="K22" s="81"/>
    </row>
    <row r="23" spans="1:11" s="1" customFormat="1" ht="15" customHeight="1" x14ac:dyDescent="0.2">
      <c r="B23" s="235" t="s">
        <v>142</v>
      </c>
      <c r="C23" s="236">
        <f>C21-C22</f>
        <v>3.9723118488005214E-2</v>
      </c>
      <c r="D23" s="313"/>
      <c r="E23" s="139"/>
      <c r="F23" s="139"/>
      <c r="G23" s="139"/>
    </row>
    <row r="24" spans="1:11" ht="15" customHeight="1" x14ac:dyDescent="0.25">
      <c r="B24" s="140"/>
      <c r="C24" s="140"/>
      <c r="D24" s="172"/>
      <c r="E24" s="136"/>
      <c r="F24" s="136"/>
      <c r="G24" s="136"/>
      <c r="I24" s="4"/>
      <c r="J24" s="4"/>
      <c r="K24" s="4"/>
    </row>
    <row r="25" spans="1:11" ht="15" customHeight="1" x14ac:dyDescent="0.25">
      <c r="A25" s="8"/>
      <c r="B25" s="492" t="s">
        <v>143</v>
      </c>
      <c r="C25" s="492"/>
      <c r="D25" s="314"/>
      <c r="E25" s="136"/>
      <c r="F25" s="136"/>
      <c r="G25" s="136"/>
      <c r="I25" s="4"/>
    </row>
    <row r="26" spans="1:11" ht="15" customHeight="1" x14ac:dyDescent="0.25">
      <c r="A26" s="8"/>
      <c r="B26" s="237" t="s">
        <v>144</v>
      </c>
      <c r="C26" s="238">
        <f>+'RTA 2025'!D22</f>
        <v>6.4369639999007902</v>
      </c>
      <c r="D26" s="136"/>
      <c r="E26" s="136"/>
      <c r="F26" s="136"/>
      <c r="G26" s="136"/>
      <c r="I26" s="5"/>
    </row>
    <row r="27" spans="1:11" ht="15" customHeight="1" x14ac:dyDescent="0.25">
      <c r="A27" s="8"/>
      <c r="B27" s="237" t="s">
        <v>145</v>
      </c>
      <c r="C27" s="238">
        <f>C26*(1+C23)</f>
        <v>6.6926602835718727</v>
      </c>
      <c r="D27" s="136"/>
      <c r="E27" s="136"/>
      <c r="F27" s="136"/>
      <c r="G27" s="136"/>
    </row>
    <row r="28" spans="1:11" ht="15" customHeight="1" x14ac:dyDescent="0.25">
      <c r="B28" s="135"/>
      <c r="C28" s="315"/>
      <c r="D28" s="136"/>
      <c r="E28" s="135"/>
      <c r="F28" s="135"/>
      <c r="G28" s="135"/>
    </row>
    <row r="29" spans="1:11" ht="15" customHeight="1" x14ac:dyDescent="0.25">
      <c r="B29" s="135"/>
      <c r="C29" s="317"/>
      <c r="D29" s="135"/>
      <c r="F29"/>
      <c r="G29"/>
      <c r="H29"/>
    </row>
    <row r="30" spans="1:11" ht="15" customHeight="1" x14ac:dyDescent="0.25">
      <c r="B30" s="135"/>
      <c r="C30" s="315"/>
      <c r="D30" s="135"/>
      <c r="F30"/>
      <c r="G30"/>
      <c r="H30"/>
    </row>
    <row r="31" spans="1:11" ht="15" customHeight="1" x14ac:dyDescent="0.25">
      <c r="D31" s="135"/>
      <c r="F31"/>
      <c r="G31"/>
      <c r="H31"/>
    </row>
    <row r="32" spans="1:11" ht="15" customHeight="1" x14ac:dyDescent="0.25">
      <c r="B32" s="24"/>
      <c r="C32" s="25"/>
    </row>
    <row r="33" spans="4:4" s="1" customFormat="1" ht="15" customHeight="1" x14ac:dyDescent="0.2"/>
    <row r="34" spans="4:4" s="1" customFormat="1" ht="15" customHeight="1" x14ac:dyDescent="0.2"/>
    <row r="35" spans="4:4" s="1" customFormat="1" ht="15" customHeight="1" x14ac:dyDescent="0.2"/>
    <row r="36" spans="4:4" s="1" customFormat="1" ht="15" hidden="1" customHeight="1" x14ac:dyDescent="0.2"/>
    <row r="39" spans="4:4" s="1" customFormat="1" ht="14.25" hidden="1" x14ac:dyDescent="0.2">
      <c r="D39" s="19"/>
    </row>
    <row r="40" spans="4:4" s="1" customFormat="1" ht="14.25" hidden="1" x14ac:dyDescent="0.2">
      <c r="D40" s="19"/>
    </row>
    <row r="41" spans="4:4" s="1" customFormat="1" ht="14.25" hidden="1" x14ac:dyDescent="0.2">
      <c r="D41" s="19"/>
    </row>
    <row r="42" spans="4:4" s="1" customFormat="1" ht="14.25" hidden="1" x14ac:dyDescent="0.2">
      <c r="D42" s="19"/>
    </row>
    <row r="43" spans="4:4" s="1" customFormat="1" ht="14.25" hidden="1" x14ac:dyDescent="0.2">
      <c r="D43" s="19"/>
    </row>
  </sheetData>
  <mergeCells count="6">
    <mergeCell ref="B8:F8"/>
    <mergeCell ref="B9:G9"/>
    <mergeCell ref="B17:F17"/>
    <mergeCell ref="B20:C20"/>
    <mergeCell ref="B25:C25"/>
    <mergeCell ref="B10:C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1ABAD-1478-495E-BE42-4F88C1A5A942}">
  <sheetPr>
    <tabColor theme="3"/>
  </sheetPr>
  <dimension ref="A1:T56"/>
  <sheetViews>
    <sheetView showGridLines="0" zoomScale="90" zoomScaleNormal="90" workbookViewId="0">
      <selection activeCell="I8" sqref="I8"/>
    </sheetView>
  </sheetViews>
  <sheetFormatPr defaultColWidth="0" defaultRowHeight="15" zeroHeight="1" x14ac:dyDescent="0.25"/>
  <cols>
    <col min="1" max="1" width="3.42578125" customWidth="1"/>
    <col min="2" max="2" width="24.140625" customWidth="1"/>
    <col min="3" max="3" width="18.28515625" style="13" customWidth="1"/>
    <col min="4" max="4" width="16.140625" customWidth="1"/>
    <col min="5" max="7" width="16.28515625" bestFit="1" customWidth="1"/>
    <col min="8" max="8" width="17.28515625" customWidth="1"/>
    <col min="9" max="14" width="16.28515625" bestFit="1" customWidth="1"/>
    <col min="15" max="15" width="19.28515625" customWidth="1"/>
    <col min="16" max="16" width="17.85546875" bestFit="1" customWidth="1"/>
    <col min="17" max="17" width="4.5703125" customWidth="1"/>
    <col min="18" max="20" width="0" hidden="1" customWidth="1"/>
    <col min="21" max="16384" width="9.140625" hidden="1"/>
  </cols>
  <sheetData>
    <row r="1" spans="1:17" ht="3" customHeight="1" x14ac:dyDescent="0.25"/>
    <row r="2" spans="1:17" x14ac:dyDescent="0.25"/>
    <row r="3" spans="1:17" x14ac:dyDescent="0.25">
      <c r="A3" s="83"/>
      <c r="B3" s="83"/>
      <c r="C3" s="105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</row>
    <row r="4" spans="1:17" x14ac:dyDescent="0.25">
      <c r="A4" s="83"/>
      <c r="B4" s="83"/>
      <c r="C4" s="105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</row>
    <row r="5" spans="1:17" ht="20.100000000000001" customHeight="1" x14ac:dyDescent="0.25">
      <c r="A5" s="83"/>
      <c r="B5" s="83"/>
      <c r="C5" s="105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</row>
    <row r="6" spans="1:17" x14ac:dyDescent="0.25"/>
    <row r="7" spans="1:17" ht="18.75" x14ac:dyDescent="0.25">
      <c r="B7" s="111" t="s">
        <v>146</v>
      </c>
      <c r="C7" s="102"/>
    </row>
    <row r="8" spans="1:17" ht="10.5" customHeight="1" x14ac:dyDescent="0.25">
      <c r="I8" s="329"/>
    </row>
    <row r="9" spans="1:17" x14ac:dyDescent="0.25">
      <c r="B9" s="491">
        <v>2024</v>
      </c>
      <c r="C9" s="491"/>
      <c r="D9" s="491"/>
      <c r="E9" s="491"/>
      <c r="F9" s="491"/>
      <c r="G9" s="491"/>
      <c r="H9" s="491"/>
      <c r="I9" s="491"/>
      <c r="J9" s="491"/>
      <c r="K9" s="491"/>
      <c r="L9" s="491"/>
      <c r="M9" s="491"/>
      <c r="N9" s="491"/>
      <c r="O9" s="491"/>
      <c r="P9" s="491"/>
    </row>
    <row r="10" spans="1:17" x14ac:dyDescent="0.25">
      <c r="B10" s="268" t="s">
        <v>147</v>
      </c>
      <c r="C10" s="269" t="str">
        <f>UPPER("UN")</f>
        <v>UN</v>
      </c>
      <c r="D10" s="270" t="s">
        <v>148</v>
      </c>
      <c r="E10" s="270" t="s">
        <v>149</v>
      </c>
      <c r="F10" s="270" t="s">
        <v>150</v>
      </c>
      <c r="G10" s="270" t="s">
        <v>151</v>
      </c>
      <c r="H10" s="270" t="s">
        <v>152</v>
      </c>
      <c r="I10" s="270" t="s">
        <v>153</v>
      </c>
      <c r="J10" s="270" t="s">
        <v>154</v>
      </c>
      <c r="K10" s="270" t="s">
        <v>155</v>
      </c>
      <c r="L10" s="270" t="s">
        <v>156</v>
      </c>
      <c r="M10" s="270" t="s">
        <v>157</v>
      </c>
      <c r="N10" s="270" t="s">
        <v>158</v>
      </c>
      <c r="O10" s="270" t="s">
        <v>159</v>
      </c>
      <c r="P10" s="270" t="s">
        <v>160</v>
      </c>
    </row>
    <row r="11" spans="1:17" x14ac:dyDescent="0.25">
      <c r="B11" s="271" t="s">
        <v>161</v>
      </c>
      <c r="C11" s="272" t="s">
        <v>162</v>
      </c>
      <c r="D11" s="273">
        <v>177362338.96000001</v>
      </c>
      <c r="E11" s="273">
        <v>170781160.34999999</v>
      </c>
      <c r="F11" s="273">
        <v>175964194.03</v>
      </c>
      <c r="G11" s="273">
        <v>176601717.72999999</v>
      </c>
      <c r="H11" s="273">
        <v>192847202.81</v>
      </c>
      <c r="I11" s="273">
        <v>205188379.33000001</v>
      </c>
      <c r="J11" s="273">
        <v>212786146.19</v>
      </c>
      <c r="K11" s="273">
        <v>209640609.28</v>
      </c>
      <c r="L11" s="273">
        <v>231043250.31999999</v>
      </c>
      <c r="M11" s="273">
        <v>231829885.71000001</v>
      </c>
      <c r="N11" s="273">
        <v>204679664.75</v>
      </c>
      <c r="O11" s="273">
        <v>205108937.43000001</v>
      </c>
      <c r="P11" s="273">
        <f>SUM(D11:O11)</f>
        <v>2393833486.8899999</v>
      </c>
    </row>
    <row r="12" spans="1:17" x14ac:dyDescent="0.25">
      <c r="B12" s="249" t="s">
        <v>163</v>
      </c>
      <c r="C12" s="274" t="s">
        <v>164</v>
      </c>
      <c r="D12" s="248">
        <f>Volume_2024!D10</f>
        <v>22222882</v>
      </c>
      <c r="E12" s="248">
        <f>Volume_2024!E10</f>
        <v>20611397.296</v>
      </c>
      <c r="F12" s="248">
        <f>Volume_2024!F10</f>
        <v>22977498</v>
      </c>
      <c r="G12" s="248">
        <f>Volume_2024!G10</f>
        <v>22350680.888999999</v>
      </c>
      <c r="H12" s="248">
        <f>Volume_2024!H10</f>
        <v>23201709.390000001</v>
      </c>
      <c r="I12" s="248">
        <f>Volume_2024!I10</f>
        <v>22340871.699999999</v>
      </c>
      <c r="J12" s="248">
        <f>Volume_2024!J10</f>
        <v>23005451.690000001</v>
      </c>
      <c r="K12" s="248">
        <f>Volume_2024!K10</f>
        <v>23720613.399999999</v>
      </c>
      <c r="L12" s="248">
        <f>Volume_2024!L10</f>
        <v>23962599.140000001</v>
      </c>
      <c r="M12" s="248">
        <f>Volume_2024!M10</f>
        <v>23688141</v>
      </c>
      <c r="N12" s="248">
        <f>Volume_2024!N10</f>
        <v>22008705</v>
      </c>
      <c r="O12" s="248">
        <f>Volume_2024!O10</f>
        <v>22826038</v>
      </c>
      <c r="P12" s="275">
        <f>SUM(D12:O12)</f>
        <v>272916587.505</v>
      </c>
    </row>
    <row r="13" spans="1:17" x14ac:dyDescent="0.25">
      <c r="B13" s="249" t="s">
        <v>165</v>
      </c>
      <c r="C13" s="274" t="s">
        <v>164</v>
      </c>
      <c r="D13" s="248">
        <f>Volume_2024!D11</f>
        <v>13342810.240000002</v>
      </c>
      <c r="E13" s="248">
        <f>Volume_2024!E11</f>
        <v>12393891.900000002</v>
      </c>
      <c r="F13" s="276">
        <f>Volume_2024!F11</f>
        <v>12762690.02</v>
      </c>
      <c r="G13" s="276">
        <f>Volume_2024!G11</f>
        <v>12069386.84</v>
      </c>
      <c r="H13" s="276">
        <f>Volume_2024!H11</f>
        <v>11130660.9</v>
      </c>
      <c r="I13" s="276">
        <f>Volume_2024!I11</f>
        <v>10539767.279999999</v>
      </c>
      <c r="J13" s="276">
        <f>Volume_2024!J11</f>
        <v>10002834.9</v>
      </c>
      <c r="K13" s="276">
        <f>Volume_2024!K11</f>
        <v>10253989.060000001</v>
      </c>
      <c r="L13" s="276">
        <f>Volume_2024!L11</f>
        <v>9985349.4000000004</v>
      </c>
      <c r="M13" s="276">
        <f>Volume_2024!M11</f>
        <v>10827533.859999999</v>
      </c>
      <c r="N13" s="276">
        <f>Volume_2024!N11</f>
        <v>12091739.699999999</v>
      </c>
      <c r="O13" s="248">
        <f>Volume_2024!O11</f>
        <v>12191906.380000003</v>
      </c>
      <c r="P13" s="275">
        <f>SUM(D13:O13)</f>
        <v>137592560.48000002</v>
      </c>
    </row>
    <row r="14" spans="1:17" x14ac:dyDescent="0.25">
      <c r="B14" s="277" t="s">
        <v>166</v>
      </c>
      <c r="C14" s="278" t="s">
        <v>164</v>
      </c>
      <c r="D14" s="279">
        <f>SUM(D12:D13)</f>
        <v>35565692.240000002</v>
      </c>
      <c r="E14" s="279">
        <f t="shared" ref="E14:O14" si="0">SUM(E12:E13)</f>
        <v>33005289.196000002</v>
      </c>
      <c r="F14" s="279">
        <f t="shared" si="0"/>
        <v>35740188.019999996</v>
      </c>
      <c r="G14" s="279">
        <f t="shared" si="0"/>
        <v>34420067.729000002</v>
      </c>
      <c r="H14" s="279">
        <f t="shared" si="0"/>
        <v>34332370.289999999</v>
      </c>
      <c r="I14" s="279">
        <f t="shared" si="0"/>
        <v>32880638.979999997</v>
      </c>
      <c r="J14" s="279">
        <f t="shared" si="0"/>
        <v>33008286.590000004</v>
      </c>
      <c r="K14" s="279">
        <f t="shared" si="0"/>
        <v>33974602.460000001</v>
      </c>
      <c r="L14" s="279">
        <f t="shared" si="0"/>
        <v>33947948.539999999</v>
      </c>
      <c r="M14" s="279">
        <f t="shared" si="0"/>
        <v>34515674.859999999</v>
      </c>
      <c r="N14" s="279">
        <f t="shared" si="0"/>
        <v>34100444.700000003</v>
      </c>
      <c r="O14" s="279">
        <f t="shared" si="0"/>
        <v>35017944.380000003</v>
      </c>
      <c r="P14" s="279">
        <f>SUM(P12:P13)</f>
        <v>410509147.98500001</v>
      </c>
    </row>
    <row r="15" spans="1:17" x14ac:dyDescent="0.25">
      <c r="B15" s="280" t="s">
        <v>167</v>
      </c>
      <c r="C15" s="281" t="s">
        <v>164</v>
      </c>
      <c r="D15" s="248">
        <f>Volume_2024!D54</f>
        <v>13484487</v>
      </c>
      <c r="E15" s="248">
        <f>Volume_2024!E54</f>
        <v>12928272</v>
      </c>
      <c r="F15" s="248">
        <f>Volume_2024!F54</f>
        <v>13326545</v>
      </c>
      <c r="G15" s="248">
        <f>Volume_2024!G54</f>
        <v>13371066</v>
      </c>
      <c r="H15" s="248">
        <f>Volume_2024!H54</f>
        <v>14303053</v>
      </c>
      <c r="I15" s="248">
        <f>Volume_2024!I54</f>
        <v>14347766</v>
      </c>
      <c r="J15" s="248">
        <f>Volume_2024!J54</f>
        <v>14166571</v>
      </c>
      <c r="K15" s="248">
        <f>Volume_2024!K54</f>
        <v>13997512</v>
      </c>
      <c r="L15" s="248">
        <f>Volume_2024!L54</f>
        <v>15307101</v>
      </c>
      <c r="M15" s="248">
        <f>Volume_2024!M54</f>
        <v>15190130</v>
      </c>
      <c r="N15" s="248">
        <f>Volume_2024!N54</f>
        <v>13824774</v>
      </c>
      <c r="O15" s="248">
        <f>Volume_2024!O54</f>
        <v>13469086</v>
      </c>
      <c r="P15" s="275">
        <f>SUM(D15:O15)</f>
        <v>167716363</v>
      </c>
    </row>
    <row r="16" spans="1:17" x14ac:dyDescent="0.25">
      <c r="B16" s="282" t="s">
        <v>168</v>
      </c>
      <c r="C16" s="281" t="s">
        <v>164</v>
      </c>
      <c r="D16" s="248">
        <f>Volume_2024!D91</f>
        <v>11740103.85</v>
      </c>
      <c r="E16" s="248">
        <f>Volume_2024!E91</f>
        <v>11343972.200000001</v>
      </c>
      <c r="F16" s="248">
        <f>Volume_2024!F91</f>
        <v>11679340.68</v>
      </c>
      <c r="G16" s="248">
        <f>Volume_2024!G91</f>
        <v>11707160.99</v>
      </c>
      <c r="H16" s="248">
        <f>Volume_2024!H91</f>
        <v>12494623.770000001</v>
      </c>
      <c r="I16" s="248">
        <f>Volume_2024!I91</f>
        <v>12428402.65</v>
      </c>
      <c r="J16" s="248">
        <f>Volume_2024!J91</f>
        <v>12368922.530000001</v>
      </c>
      <c r="K16" s="248">
        <f>Volume_2024!K91</f>
        <v>12109665.620000003</v>
      </c>
      <c r="L16" s="248">
        <f>Volume_2024!L91</f>
        <v>13144156.439999998</v>
      </c>
      <c r="M16" s="248">
        <f>Volume_2024!M91</f>
        <v>13270472.950000001</v>
      </c>
      <c r="N16" s="248">
        <f>Volume_2024!N91</f>
        <v>12055021.600000003</v>
      </c>
      <c r="O16" s="248">
        <f>Volume_2024!O91</f>
        <v>11802149.030000001</v>
      </c>
      <c r="P16" s="275">
        <f>SUM(D16:O16)</f>
        <v>146143992.31000003</v>
      </c>
    </row>
    <row r="17" spans="2:16" x14ac:dyDescent="0.25">
      <c r="B17" s="283" t="s">
        <v>169</v>
      </c>
      <c r="C17" s="278" t="s">
        <v>164</v>
      </c>
      <c r="D17" s="279">
        <f>SUM(D15:D16)</f>
        <v>25224590.850000001</v>
      </c>
      <c r="E17" s="279">
        <f t="shared" ref="E17:O17" si="1">SUM(E15:E16)</f>
        <v>24272244.200000003</v>
      </c>
      <c r="F17" s="279">
        <f t="shared" si="1"/>
        <v>25005885.68</v>
      </c>
      <c r="G17" s="279">
        <f t="shared" si="1"/>
        <v>25078226.990000002</v>
      </c>
      <c r="H17" s="279">
        <f t="shared" si="1"/>
        <v>26797676.770000003</v>
      </c>
      <c r="I17" s="279">
        <f t="shared" si="1"/>
        <v>26776168.649999999</v>
      </c>
      <c r="J17" s="279">
        <f t="shared" si="1"/>
        <v>26535493.530000001</v>
      </c>
      <c r="K17" s="279">
        <f t="shared" si="1"/>
        <v>26107177.620000005</v>
      </c>
      <c r="L17" s="279">
        <f t="shared" si="1"/>
        <v>28451257.439999998</v>
      </c>
      <c r="M17" s="279">
        <f t="shared" si="1"/>
        <v>28460602.950000003</v>
      </c>
      <c r="N17" s="279">
        <f t="shared" si="1"/>
        <v>25879795.600000001</v>
      </c>
      <c r="O17" s="279">
        <f t="shared" si="1"/>
        <v>25271235.030000001</v>
      </c>
      <c r="P17" s="279">
        <f>P15+P16</f>
        <v>313860355.31000006</v>
      </c>
    </row>
    <row r="18" spans="2:16" x14ac:dyDescent="0.25">
      <c r="B18" s="283" t="s">
        <v>170</v>
      </c>
      <c r="C18" s="278" t="s">
        <v>171</v>
      </c>
      <c r="D18" s="284">
        <f>D11/D17</f>
        <v>7.0313266928569425</v>
      </c>
      <c r="E18" s="284">
        <f t="shared" ref="E18:O18" si="2">E11/E17</f>
        <v>7.0360679854234478</v>
      </c>
      <c r="F18" s="284">
        <f t="shared" si="2"/>
        <v>7.0369110809275686</v>
      </c>
      <c r="G18" s="284">
        <f t="shared" si="2"/>
        <v>7.0420336254401201</v>
      </c>
      <c r="H18" s="284">
        <f t="shared" si="2"/>
        <v>7.1964149901939418</v>
      </c>
      <c r="I18" s="284">
        <f t="shared" si="2"/>
        <v>7.6630970626187782</v>
      </c>
      <c r="J18" s="284">
        <f t="shared" si="2"/>
        <v>8.0189255176065295</v>
      </c>
      <c r="K18" s="284">
        <f t="shared" si="2"/>
        <v>8.0299989654722381</v>
      </c>
      <c r="L18" s="284">
        <f t="shared" si="2"/>
        <v>8.1206692114483925</v>
      </c>
      <c r="M18" s="284">
        <f t="shared" si="2"/>
        <v>8.1456421045359466</v>
      </c>
      <c r="N18" s="284">
        <f t="shared" si="2"/>
        <v>7.9088594018880114</v>
      </c>
      <c r="O18" s="284">
        <f t="shared" si="2"/>
        <v>8.1163004968499166</v>
      </c>
      <c r="P18" s="284">
        <f>P11/P17</f>
        <v>7.6270654970921994</v>
      </c>
    </row>
    <row r="19" spans="2:16" x14ac:dyDescent="0.25">
      <c r="B19" s="285" t="s">
        <v>172</v>
      </c>
      <c r="C19" s="286" t="s">
        <v>162</v>
      </c>
      <c r="D19" s="287">
        <f>D11</f>
        <v>177362338.96000001</v>
      </c>
      <c r="E19" s="287">
        <f t="shared" ref="E19:O19" si="3">E11</f>
        <v>170781160.34999999</v>
      </c>
      <c r="F19" s="287">
        <f t="shared" si="3"/>
        <v>175964194.03</v>
      </c>
      <c r="G19" s="287">
        <f t="shared" si="3"/>
        <v>176601717.72999999</v>
      </c>
      <c r="H19" s="287">
        <f t="shared" si="3"/>
        <v>192847202.81</v>
      </c>
      <c r="I19" s="287">
        <f t="shared" si="3"/>
        <v>205188379.33000001</v>
      </c>
      <c r="J19" s="287">
        <f t="shared" si="3"/>
        <v>212786146.19</v>
      </c>
      <c r="K19" s="287">
        <f t="shared" si="3"/>
        <v>209640609.28</v>
      </c>
      <c r="L19" s="287">
        <f t="shared" si="3"/>
        <v>231043250.31999999</v>
      </c>
      <c r="M19" s="287">
        <f t="shared" si="3"/>
        <v>231829885.71000001</v>
      </c>
      <c r="N19" s="287">
        <f t="shared" si="3"/>
        <v>204679664.75</v>
      </c>
      <c r="O19" s="287">
        <f t="shared" si="3"/>
        <v>205108937.43000001</v>
      </c>
      <c r="P19" s="287">
        <f t="shared" ref="P19:P20" si="4">SUM(D19:O19)</f>
        <v>2393833486.8899999</v>
      </c>
    </row>
    <row r="20" spans="2:16" x14ac:dyDescent="0.25">
      <c r="B20" s="288" t="s">
        <v>173</v>
      </c>
      <c r="C20" s="289" t="s">
        <v>162</v>
      </c>
      <c r="D20" s="287">
        <f>D14*D18</f>
        <v>250074001.19704702</v>
      </c>
      <c r="E20" s="287">
        <f t="shared" ref="E20:N20" si="5">E14*E18</f>
        <v>232227458.66161802</v>
      </c>
      <c r="F20" s="287">
        <f t="shared" si="5"/>
        <v>251500525.1123727</v>
      </c>
      <c r="G20" s="287">
        <f t="shared" si="5"/>
        <v>242387274.33754438</v>
      </c>
      <c r="H20" s="287">
        <f t="shared" si="5"/>
        <v>247069984.20384511</v>
      </c>
      <c r="I20" s="287">
        <f t="shared" si="5"/>
        <v>251967527.98466647</v>
      </c>
      <c r="J20" s="287">
        <f t="shared" si="5"/>
        <v>264690991.62902045</v>
      </c>
      <c r="K20" s="287">
        <f t="shared" si="5"/>
        <v>272816022.60613054</v>
      </c>
      <c r="L20" s="287">
        <f t="shared" si="5"/>
        <v>275680060.50061238</v>
      </c>
      <c r="M20" s="287">
        <f t="shared" si="5"/>
        <v>281152334.40608889</v>
      </c>
      <c r="N20" s="287">
        <f t="shared" si="5"/>
        <v>269695622.6741572</v>
      </c>
      <c r="O20" s="287">
        <f>O14*O18</f>
        <v>284216159.37005675</v>
      </c>
      <c r="P20" s="287">
        <f t="shared" si="4"/>
        <v>3123477962.6831598</v>
      </c>
    </row>
    <row r="21" spans="2:16" ht="15" customHeight="1" x14ac:dyDescent="0.25">
      <c r="B21" s="246" t="s">
        <v>174</v>
      </c>
      <c r="C21" s="290" t="s">
        <v>162</v>
      </c>
      <c r="D21" s="291">
        <f>(D14*D18)*2.5%</f>
        <v>6251850.0299261762</v>
      </c>
      <c r="E21" s="291">
        <f t="shared" ref="E21:N21" si="6">(E14*E18)*2.5%</f>
        <v>5805686.4665404512</v>
      </c>
      <c r="F21" s="291">
        <f t="shared" si="6"/>
        <v>6287513.1278093178</v>
      </c>
      <c r="G21" s="291">
        <f t="shared" si="6"/>
        <v>6059681.8584386101</v>
      </c>
      <c r="H21" s="291">
        <f>(H14*H18)*2.5%</f>
        <v>6176749.6050961278</v>
      </c>
      <c r="I21" s="291">
        <f t="shared" si="6"/>
        <v>6299188.1996166622</v>
      </c>
      <c r="J21" s="291">
        <f t="shared" si="6"/>
        <v>6617274.7907255115</v>
      </c>
      <c r="K21" s="291">
        <f t="shared" si="6"/>
        <v>6820400.5651532635</v>
      </c>
      <c r="L21" s="291">
        <f t="shared" si="6"/>
        <v>6892001.5125153102</v>
      </c>
      <c r="M21" s="291">
        <f t="shared" si="6"/>
        <v>7028808.3601522222</v>
      </c>
      <c r="N21" s="291">
        <f t="shared" si="6"/>
        <v>6742390.5668539302</v>
      </c>
      <c r="O21" s="291">
        <f>(O14*O18)*2.5%</f>
        <v>7105403.9842514191</v>
      </c>
      <c r="P21" s="332">
        <f>SUM(D21:O21)</f>
        <v>78086949.067079008</v>
      </c>
    </row>
    <row r="22" spans="2:16" x14ac:dyDescent="0.25">
      <c r="B22" s="246" t="s">
        <v>175</v>
      </c>
      <c r="C22" s="290" t="s">
        <v>162</v>
      </c>
      <c r="D22" s="291">
        <f>(D17*D18)*1%</f>
        <v>1773623.3896000001</v>
      </c>
      <c r="E22" s="291">
        <f t="shared" ref="E22:O22" si="7">(E17*E18)*1%</f>
        <v>1707811.6035</v>
      </c>
      <c r="F22" s="291">
        <f t="shared" si="7"/>
        <v>1759641.9403000001</v>
      </c>
      <c r="G22" s="291">
        <f t="shared" si="7"/>
        <v>1766017.1772999999</v>
      </c>
      <c r="H22" s="291">
        <f t="shared" si="7"/>
        <v>1928472.0281</v>
      </c>
      <c r="I22" s="291">
        <f t="shared" si="7"/>
        <v>2051883.7933000003</v>
      </c>
      <c r="J22" s="291">
        <f t="shared" si="7"/>
        <v>2127861.4618999995</v>
      </c>
      <c r="K22" s="291">
        <f t="shared" si="7"/>
        <v>2096406.0928</v>
      </c>
      <c r="L22" s="291">
        <f t="shared" si="7"/>
        <v>2310432.5032000002</v>
      </c>
      <c r="M22" s="291">
        <f t="shared" si="7"/>
        <v>2318298.8571000001</v>
      </c>
      <c r="N22" s="291">
        <f t="shared" si="7"/>
        <v>2046796.6475</v>
      </c>
      <c r="O22" s="291">
        <f t="shared" si="7"/>
        <v>2051089.3743000005</v>
      </c>
      <c r="P22" s="332">
        <f>SUM(D22:O22)</f>
        <v>23938334.868900001</v>
      </c>
    </row>
    <row r="23" spans="2:16" ht="15" customHeight="1" x14ac:dyDescent="0.25">
      <c r="B23" s="292" t="s">
        <v>64</v>
      </c>
      <c r="C23" s="219"/>
      <c r="D23" s="293">
        <f>+D22+D21</f>
        <v>8025473.4195261765</v>
      </c>
      <c r="E23" s="293">
        <f t="shared" ref="E23:O23" si="8">+E22+E21</f>
        <v>7513498.0700404514</v>
      </c>
      <c r="F23" s="293">
        <f t="shared" si="8"/>
        <v>8047155.0681093177</v>
      </c>
      <c r="G23" s="293">
        <f t="shared" si="8"/>
        <v>7825699.0357386097</v>
      </c>
      <c r="H23" s="293">
        <f t="shared" si="8"/>
        <v>8105221.6331961276</v>
      </c>
      <c r="I23" s="293">
        <f t="shared" si="8"/>
        <v>8351071.9929166622</v>
      </c>
      <c r="J23" s="293">
        <f t="shared" si="8"/>
        <v>8745136.2526255101</v>
      </c>
      <c r="K23" s="293">
        <f t="shared" si="8"/>
        <v>8916806.6579532642</v>
      </c>
      <c r="L23" s="293">
        <f t="shared" si="8"/>
        <v>9202434.0157153104</v>
      </c>
      <c r="M23" s="293">
        <f t="shared" si="8"/>
        <v>9347107.2172522228</v>
      </c>
      <c r="N23" s="293">
        <f t="shared" si="8"/>
        <v>8789187.2143539302</v>
      </c>
      <c r="O23" s="293">
        <f t="shared" si="8"/>
        <v>9156493.3585514203</v>
      </c>
      <c r="P23" s="392">
        <f>+P22+P21</f>
        <v>102025283.93597901</v>
      </c>
    </row>
    <row r="24" spans="2:16" ht="15" customHeight="1" x14ac:dyDescent="0.25">
      <c r="D24" s="321"/>
      <c r="E24" s="322"/>
      <c r="F24" s="322"/>
      <c r="G24" s="322"/>
      <c r="H24" s="322"/>
      <c r="I24" s="322"/>
      <c r="J24" s="322"/>
      <c r="K24" s="322"/>
      <c r="L24" s="322"/>
      <c r="M24" s="184"/>
      <c r="N24" s="184"/>
      <c r="O24" s="184"/>
      <c r="P24" s="18"/>
    </row>
    <row r="25" spans="2:16" ht="15" customHeight="1" x14ac:dyDescent="0.25"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03"/>
    </row>
    <row r="26" spans="2:16" x14ac:dyDescent="0.25">
      <c r="B26" s="483">
        <v>2024</v>
      </c>
      <c r="C26" s="484"/>
      <c r="D26" s="484"/>
      <c r="E26" s="484"/>
      <c r="F26" s="484"/>
      <c r="G26" s="485"/>
      <c r="H26" s="183"/>
      <c r="I26" s="183"/>
      <c r="J26" s="183"/>
      <c r="K26" s="183"/>
      <c r="L26" s="183"/>
      <c r="M26" s="183"/>
      <c r="N26" s="183"/>
      <c r="P26" s="370"/>
    </row>
    <row r="27" spans="2:16" ht="18" x14ac:dyDescent="0.35">
      <c r="B27" s="219" t="s">
        <v>176</v>
      </c>
      <c r="C27" s="219" t="s">
        <v>177</v>
      </c>
      <c r="D27" s="219" t="s">
        <v>178</v>
      </c>
      <c r="E27" s="219" t="s">
        <v>116</v>
      </c>
      <c r="F27" s="219" t="s">
        <v>179</v>
      </c>
      <c r="G27" s="219" t="s">
        <v>180</v>
      </c>
      <c r="L27" s="516" t="s">
        <v>181</v>
      </c>
      <c r="M27" s="516"/>
      <c r="N27" s="516"/>
      <c r="O27" s="374" t="s">
        <v>182</v>
      </c>
      <c r="P27" s="377">
        <f>P28/(1+9.88%)</f>
        <v>0.26609418756488201</v>
      </c>
    </row>
    <row r="28" spans="2:16" ht="18" x14ac:dyDescent="0.35">
      <c r="B28" s="294" t="s">
        <v>183</v>
      </c>
      <c r="C28" s="295">
        <f>+D23</f>
        <v>8025473.4195261765</v>
      </c>
      <c r="D28" s="295">
        <f>($P$27)*E28</f>
        <v>6712117.0088873068</v>
      </c>
      <c r="E28" s="295">
        <f>Volume_2024!$D$129</f>
        <v>25224590.850000001</v>
      </c>
      <c r="F28" s="296">
        <f>Índices_2024!$F$22/Índices_2024!F11-1</f>
        <v>4.3927124315614297E-2</v>
      </c>
      <c r="G28" s="297">
        <f>(C28-D28)*(1+F28)</f>
        <v>1371048.3809597124</v>
      </c>
      <c r="L28" s="516" t="s">
        <v>184</v>
      </c>
      <c r="M28" s="516"/>
      <c r="N28" s="516"/>
      <c r="O28" s="374" t="s">
        <v>182</v>
      </c>
      <c r="P28" s="377">
        <f>('4ª RTP'!E14+'4ª RTP'!E15)/'RTA 2025'!E15</f>
        <v>0.29238429329629234</v>
      </c>
    </row>
    <row r="29" spans="2:16" ht="18" x14ac:dyDescent="0.25">
      <c r="B29" s="294" t="s">
        <v>185</v>
      </c>
      <c r="C29" s="295">
        <f>+E23</f>
        <v>7513498.0700404514</v>
      </c>
      <c r="D29" s="295">
        <f>($P$27)*E29</f>
        <v>6458703.1007754207</v>
      </c>
      <c r="E29" s="295">
        <f>Volume_2024!$E$129</f>
        <v>24272244.200000003</v>
      </c>
      <c r="F29" s="296">
        <f>Índices_2024!$F$22/Índices_2024!F12-1</f>
        <v>3.5334498853192509E-2</v>
      </c>
      <c r="G29" s="297">
        <f t="shared" ref="G29:G39" si="9">(C29-D29)*(1+F29)</f>
        <v>1092065.6208968791</v>
      </c>
      <c r="L29" s="516" t="s">
        <v>186</v>
      </c>
      <c r="M29" s="516"/>
      <c r="N29" s="516"/>
      <c r="O29" s="375" t="s">
        <v>187</v>
      </c>
      <c r="P29" s="264">
        <f>+G40+'Outros CF'!C39</f>
        <v>12387067.689912466</v>
      </c>
    </row>
    <row r="30" spans="2:16" x14ac:dyDescent="0.25">
      <c r="B30" s="294" t="s">
        <v>188</v>
      </c>
      <c r="C30" s="295">
        <f>+F23</f>
        <v>8047155.0681093177</v>
      </c>
      <c r="D30" s="295">
        <f>($P$27)*E30</f>
        <v>6653920.8343599169</v>
      </c>
      <c r="E30" s="295">
        <f>Volume_2024!$F$129</f>
        <v>25005885.68</v>
      </c>
      <c r="F30" s="296">
        <f>Índices_2024!$F$22/Índices_2024!F13-1</f>
        <v>3.3681072157504488E-2</v>
      </c>
      <c r="G30" s="297">
        <f t="shared" si="9"/>
        <v>1440159.8565086199</v>
      </c>
      <c r="L30" s="516" t="s">
        <v>53</v>
      </c>
      <c r="M30" s="516"/>
      <c r="N30" s="516"/>
      <c r="O30" s="376" t="s">
        <v>116</v>
      </c>
      <c r="P30" s="309">
        <f>Volume_2024!P129</f>
        <v>313860355.31000006</v>
      </c>
    </row>
    <row r="31" spans="2:16" x14ac:dyDescent="0.25">
      <c r="B31" s="294" t="s">
        <v>189</v>
      </c>
      <c r="C31" s="295">
        <f>+G23</f>
        <v>7825699.0357386097</v>
      </c>
      <c r="D31" s="295">
        <f>($P$27)*E31</f>
        <v>6673170.4364717472</v>
      </c>
      <c r="E31" s="295">
        <f>Volume_2024!$G$129</f>
        <v>25078226.990000002</v>
      </c>
      <c r="F31" s="296">
        <f>Índices_2024!$F$22/Índices_2024!F14-1</f>
        <v>2.976836194244159E-2</v>
      </c>
      <c r="G31" s="297">
        <f t="shared" si="9"/>
        <v>1186837.4877588537</v>
      </c>
      <c r="L31" s="515" t="s">
        <v>190</v>
      </c>
      <c r="M31" s="515"/>
      <c r="N31" s="515"/>
      <c r="O31" s="328" t="s">
        <v>191</v>
      </c>
      <c r="P31" s="364">
        <f>P29/P30</f>
        <v>3.9466812167716282E-2</v>
      </c>
    </row>
    <row r="32" spans="2:16" x14ac:dyDescent="0.25">
      <c r="B32" s="294" t="s">
        <v>192</v>
      </c>
      <c r="C32" s="295">
        <f>+H23</f>
        <v>8105221.6331961276</v>
      </c>
      <c r="D32" s="295">
        <f>($P$27)*E32</f>
        <v>7130706.0287394626</v>
      </c>
      <c r="E32" s="295">
        <f>Volume_2024!$H$129</f>
        <v>26797676.770000003</v>
      </c>
      <c r="F32" s="296">
        <f>Índices_2024!$F$22/Índices_2024!F15-1</f>
        <v>2.505283703096306E-2</v>
      </c>
      <c r="G32" s="297">
        <f t="shared" si="9"/>
        <v>998929.98507924832</v>
      </c>
      <c r="L32" s="21"/>
    </row>
    <row r="33" spans="2:16" x14ac:dyDescent="0.25">
      <c r="B33" s="281" t="s">
        <v>193</v>
      </c>
      <c r="C33" s="439">
        <f>+I23</f>
        <v>8351071.9929166622</v>
      </c>
      <c r="D33" s="439">
        <f>($P$28)*E33</f>
        <v>7828931.147912588</v>
      </c>
      <c r="E33" s="439">
        <f>Volume_2024!$I$129</f>
        <v>26776168.649999999</v>
      </c>
      <c r="F33" s="467">
        <f>Índices_2024!$F$22/Índices_2024!F16-1</f>
        <v>2.2904238414984679E-2</v>
      </c>
      <c r="G33" s="468">
        <f t="shared" si="9"/>
        <v>534100.08340424916</v>
      </c>
      <c r="P33" s="390"/>
    </row>
    <row r="34" spans="2:16" x14ac:dyDescent="0.25">
      <c r="B34" s="281" t="s">
        <v>194</v>
      </c>
      <c r="C34" s="439">
        <f>+J23</f>
        <v>8745136.2526255101</v>
      </c>
      <c r="D34" s="439">
        <f t="shared" ref="D34:D39" si="10">($P$28)*E34</f>
        <v>7758561.523037388</v>
      </c>
      <c r="E34" s="439">
        <f>Volume_2024!$J$129</f>
        <v>26535493.530000001</v>
      </c>
      <c r="F34" s="467">
        <f>Índices_2024!$F$22/Índices_2024!F17-1</f>
        <v>1.9031586319531391E-2</v>
      </c>
      <c r="G34" s="468">
        <f t="shared" si="9"/>
        <v>1005350.8117149468</v>
      </c>
    </row>
    <row r="35" spans="2:16" x14ac:dyDescent="0.25">
      <c r="B35" s="281" t="s">
        <v>195</v>
      </c>
      <c r="C35" s="439">
        <f>+K23</f>
        <v>8916806.6579532642</v>
      </c>
      <c r="D35" s="439">
        <f t="shared" si="10"/>
        <v>7633328.678384481</v>
      </c>
      <c r="E35" s="439">
        <f>Volume_2024!$K$129</f>
        <v>26107177.620000005</v>
      </c>
      <c r="F35" s="467">
        <f>Índices_2024!$F$22/Índices_2024!F18-1</f>
        <v>1.9234909926074684E-2</v>
      </c>
      <c r="G35" s="468">
        <f t="shared" si="9"/>
        <v>1308165.5628978892</v>
      </c>
    </row>
    <row r="36" spans="2:16" x14ac:dyDescent="0.25">
      <c r="B36" s="281" t="s">
        <v>196</v>
      </c>
      <c r="C36" s="439">
        <f>+L23</f>
        <v>9202434.0157153104</v>
      </c>
      <c r="D36" s="439">
        <f t="shared" si="10"/>
        <v>8318700.7999852793</v>
      </c>
      <c r="E36" s="439">
        <f>Volume_2024!$L$129</f>
        <v>28451257.439999998</v>
      </c>
      <c r="F36" s="467">
        <f>Índices_2024!$F$22/Índices_2024!F19-1</f>
        <v>1.4770299336158255E-2</v>
      </c>
      <c r="G36" s="468">
        <f t="shared" si="9"/>
        <v>896786.21985966933</v>
      </c>
    </row>
    <row r="37" spans="2:16" x14ac:dyDescent="0.25">
      <c r="B37" s="281" t="s">
        <v>197</v>
      </c>
      <c r="C37" s="439">
        <f>+M23</f>
        <v>9347107.2172522228</v>
      </c>
      <c r="D37" s="439">
        <f t="shared" si="10"/>
        <v>8321433.2803221243</v>
      </c>
      <c r="E37" s="439">
        <f>Volume_2024!$M$129</f>
        <v>28460602.950000003</v>
      </c>
      <c r="F37" s="467">
        <f>Índices_2024!$F$22/Índices_2024!F20-1</f>
        <v>9.1198110378563069E-3</v>
      </c>
      <c r="G37" s="468">
        <f t="shared" si="9"/>
        <v>1035027.8894213552</v>
      </c>
    </row>
    <row r="38" spans="2:16" x14ac:dyDescent="0.25">
      <c r="B38" s="281" t="s">
        <v>198</v>
      </c>
      <c r="C38" s="439">
        <f>+N23</f>
        <v>8789187.2143539302</v>
      </c>
      <c r="D38" s="439">
        <f t="shared" si="10"/>
        <v>7566845.7471584966</v>
      </c>
      <c r="E38" s="439">
        <f>Volume_2024!$N$129</f>
        <v>25879795.600000001</v>
      </c>
      <c r="F38" s="467">
        <f>Índices_2024!$F$22/Índices_2024!F21-1</f>
        <v>5.1997729257888814E-3</v>
      </c>
      <c r="G38" s="468">
        <f t="shared" si="9"/>
        <v>1228697.3652626255</v>
      </c>
    </row>
    <row r="39" spans="2:16" x14ac:dyDescent="0.25">
      <c r="B39" s="281" t="s">
        <v>199</v>
      </c>
      <c r="C39" s="439">
        <f>+O23</f>
        <v>9156493.3585514203</v>
      </c>
      <c r="D39" s="439">
        <f t="shared" si="10"/>
        <v>7388912.1949710576</v>
      </c>
      <c r="E39" s="439">
        <f>Volume_2024!$O$129</f>
        <v>25271235.030000001</v>
      </c>
      <c r="F39" s="467">
        <f>Índices_2024!$F$22/Índices_2024!F22-1</f>
        <v>0</v>
      </c>
      <c r="G39" s="468">
        <f t="shared" si="9"/>
        <v>1767581.1635803627</v>
      </c>
    </row>
    <row r="40" spans="2:16" x14ac:dyDescent="0.25">
      <c r="B40" s="219" t="s">
        <v>160</v>
      </c>
      <c r="C40" s="298">
        <f>SUM(C28:C39)</f>
        <v>102025283.93597901</v>
      </c>
      <c r="D40" s="298">
        <f>SUM(D28:D39)</f>
        <v>88445330.781005278</v>
      </c>
      <c r="E40" s="298">
        <f>SUM(E28:E39)</f>
        <v>313860355.31000006</v>
      </c>
      <c r="F40" s="298"/>
      <c r="G40" s="299">
        <f>SUM(G28:G39)</f>
        <v>13864750.427344412</v>
      </c>
    </row>
    <row r="41" spans="2:16" x14ac:dyDescent="0.25">
      <c r="O41" s="372"/>
      <c r="P41" s="371"/>
    </row>
    <row r="42" spans="2:16" x14ac:dyDescent="0.25">
      <c r="O42" s="372"/>
      <c r="P42" s="373"/>
    </row>
    <row r="43" spans="2:16" x14ac:dyDescent="0.25">
      <c r="D43" s="23"/>
    </row>
    <row r="44" spans="2:16" hidden="1" x14ac:dyDescent="0.25">
      <c r="D44" s="182"/>
    </row>
    <row r="45" spans="2:16" hidden="1" x14ac:dyDescent="0.25">
      <c r="D45" s="23"/>
    </row>
    <row r="46" spans="2:16" hidden="1" x14ac:dyDescent="0.25">
      <c r="D46" s="23"/>
    </row>
    <row r="47" spans="2:16" hidden="1" x14ac:dyDescent="0.25">
      <c r="D47" s="23"/>
      <c r="E47" s="178"/>
      <c r="F47" s="178"/>
    </row>
    <row r="48" spans="2:16" hidden="1" x14ac:dyDescent="0.25">
      <c r="D48" s="23"/>
      <c r="E48" s="178"/>
      <c r="F48" s="178"/>
    </row>
    <row r="49" spans="4:4" hidden="1" x14ac:dyDescent="0.25">
      <c r="D49" s="23"/>
    </row>
    <row r="50" spans="4:4" hidden="1" x14ac:dyDescent="0.25">
      <c r="D50" s="23"/>
    </row>
    <row r="51" spans="4:4" hidden="1" x14ac:dyDescent="0.25">
      <c r="D51" s="23"/>
    </row>
    <row r="52" spans="4:4" hidden="1" x14ac:dyDescent="0.25">
      <c r="D52" s="23"/>
    </row>
    <row r="53" spans="4:4" hidden="1" x14ac:dyDescent="0.25">
      <c r="D53" s="23"/>
    </row>
    <row r="54" spans="4:4" hidden="1" x14ac:dyDescent="0.25">
      <c r="D54" s="23"/>
    </row>
    <row r="55" spans="4:4" hidden="1" x14ac:dyDescent="0.25">
      <c r="D55" s="23"/>
    </row>
    <row r="56" spans="4:4" x14ac:dyDescent="0.25"/>
  </sheetData>
  <mergeCells count="7">
    <mergeCell ref="L31:N31"/>
    <mergeCell ref="L29:N29"/>
    <mergeCell ref="B9:P9"/>
    <mergeCell ref="L27:N27"/>
    <mergeCell ref="L28:N28"/>
    <mergeCell ref="B26:G26"/>
    <mergeCell ref="L30:N30"/>
  </mergeCells>
  <phoneticPr fontId="31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4F68C-C69C-41BF-B03A-7B42DB4B95B9}">
  <sheetPr>
    <tabColor theme="3"/>
  </sheetPr>
  <dimension ref="A1:T42"/>
  <sheetViews>
    <sheetView showGridLines="0" workbookViewId="0">
      <selection activeCell="A43" sqref="A43:XFD1048576"/>
    </sheetView>
  </sheetViews>
  <sheetFormatPr defaultColWidth="0" defaultRowHeight="15" zeroHeight="1" x14ac:dyDescent="0.25"/>
  <cols>
    <col min="1" max="1" width="9.140625" customWidth="1"/>
    <col min="2" max="2" width="79.140625" customWidth="1"/>
    <col min="3" max="3" width="15.42578125" customWidth="1"/>
    <col min="4" max="4" width="13" customWidth="1"/>
    <col min="5" max="20" width="9.140625" customWidth="1"/>
    <col min="21" max="16384" width="9.140625" hidden="1"/>
  </cols>
  <sheetData>
    <row r="1" spans="2:4" ht="3" customHeight="1" x14ac:dyDescent="0.25"/>
    <row r="2" spans="2:4" x14ac:dyDescent="0.25"/>
    <row r="3" spans="2:4" s="83" customFormat="1" x14ac:dyDescent="0.25"/>
    <row r="4" spans="2:4" s="83" customFormat="1" x14ac:dyDescent="0.25"/>
    <row r="5" spans="2:4" s="83" customFormat="1" x14ac:dyDescent="0.25"/>
    <row r="6" spans="2:4" x14ac:dyDescent="0.25"/>
    <row r="7" spans="2:4" ht="18.75" x14ac:dyDescent="0.25">
      <c r="B7" s="111" t="s">
        <v>146</v>
      </c>
    </row>
    <row r="8" spans="2:4" x14ac:dyDescent="0.25"/>
    <row r="9" spans="2:4" ht="15.75" x14ac:dyDescent="0.25">
      <c r="B9" s="494" t="s">
        <v>200</v>
      </c>
      <c r="C9" s="494"/>
      <c r="D9" s="494"/>
    </row>
    <row r="10" spans="2:4" ht="18" x14ac:dyDescent="0.35">
      <c r="B10" s="219" t="s">
        <v>26</v>
      </c>
      <c r="C10" s="219" t="s">
        <v>201</v>
      </c>
      <c r="D10" s="357" t="s">
        <v>202</v>
      </c>
    </row>
    <row r="11" spans="2:4" x14ac:dyDescent="0.25">
      <c r="B11" s="354" t="s">
        <v>203</v>
      </c>
      <c r="C11" s="366">
        <f>C13+C12</f>
        <v>185552.25</v>
      </c>
      <c r="D11" s="367">
        <f>C11/'CF - 2025'!$P$30</f>
        <v>5.9119365303951792E-4</v>
      </c>
    </row>
    <row r="12" spans="2:4" x14ac:dyDescent="0.25">
      <c r="B12" s="353" t="s">
        <v>204</v>
      </c>
      <c r="C12" s="519">
        <v>-9000000</v>
      </c>
      <c r="D12" s="520"/>
    </row>
    <row r="13" spans="2:4" x14ac:dyDescent="0.25">
      <c r="B13" s="353" t="s">
        <v>205</v>
      </c>
      <c r="C13" s="521">
        <v>9185552.25</v>
      </c>
      <c r="D13" s="521"/>
    </row>
    <row r="14" spans="2:4" ht="5.0999999999999996" customHeight="1" x14ac:dyDescent="0.25"/>
    <row r="15" spans="2:4" x14ac:dyDescent="0.25">
      <c r="B15" s="354" t="s">
        <v>206</v>
      </c>
      <c r="C15" s="355">
        <f>SUM(C16:D18)</f>
        <v>-107888.95921591384</v>
      </c>
      <c r="D15" s="356">
        <f>C15/'CF - 2025'!$P$30</f>
        <v>-3.4374828611071905E-4</v>
      </c>
    </row>
    <row r="16" spans="2:4" x14ac:dyDescent="0.25">
      <c r="B16" s="353" t="s">
        <v>207</v>
      </c>
      <c r="C16" s="517">
        <v>-50371.56</v>
      </c>
      <c r="D16" s="518"/>
    </row>
    <row r="17" spans="1:5" x14ac:dyDescent="0.25">
      <c r="B17" s="353" t="s">
        <v>208</v>
      </c>
      <c r="C17" s="521">
        <v>-50884.41</v>
      </c>
      <c r="D17" s="521"/>
    </row>
    <row r="18" spans="1:5" x14ac:dyDescent="0.25">
      <c r="B18" s="353" t="s">
        <v>209</v>
      </c>
      <c r="C18" s="521">
        <f>((Índices_2024!$F$22/6659.95-1)*C16)+((Índices_2024!$F$22/6667.94-1)*C17)</f>
        <v>-6632.9892159138335</v>
      </c>
      <c r="D18" s="521"/>
    </row>
    <row r="19" spans="1:5" ht="5.0999999999999996" customHeight="1" x14ac:dyDescent="0.25">
      <c r="C19" s="3"/>
    </row>
    <row r="20" spans="1:5" x14ac:dyDescent="0.25">
      <c r="B20" s="354" t="s">
        <v>210</v>
      </c>
      <c r="C20" s="355">
        <f>C21</f>
        <v>-216020.8</v>
      </c>
      <c r="D20" s="356">
        <f>C20/'CF - 2025'!$P$30</f>
        <v>-6.8827042455437261E-4</v>
      </c>
    </row>
    <row r="21" spans="1:5" x14ac:dyDescent="0.25">
      <c r="B21" s="353" t="s">
        <v>211</v>
      </c>
      <c r="C21" s="517">
        <v>-216020.8</v>
      </c>
      <c r="D21" s="518"/>
    </row>
    <row r="22" spans="1:5" ht="5.0999999999999996" customHeight="1" x14ac:dyDescent="0.25">
      <c r="A22" s="21"/>
    </row>
    <row r="23" spans="1:5" x14ac:dyDescent="0.25">
      <c r="A23" s="21"/>
      <c r="B23" s="354" t="s">
        <v>212</v>
      </c>
      <c r="C23" s="355">
        <f>C24</f>
        <v>-295622.21000000002</v>
      </c>
      <c r="D23" s="356">
        <f>C23/'CF - 2025'!$P$30</f>
        <v>-9.4189089191597263E-4</v>
      </c>
    </row>
    <row r="24" spans="1:5" x14ac:dyDescent="0.25">
      <c r="A24" s="21"/>
      <c r="B24" s="353" t="s">
        <v>213</v>
      </c>
      <c r="C24" s="517">
        <v>-295622.21000000002</v>
      </c>
      <c r="D24" s="518"/>
      <c r="E24" s="329"/>
    </row>
    <row r="25" spans="1:5" ht="5.0999999999999996" customHeight="1" x14ac:dyDescent="0.25">
      <c r="A25" s="21"/>
    </row>
    <row r="26" spans="1:5" x14ac:dyDescent="0.25">
      <c r="A26" s="21"/>
      <c r="B26" s="354" t="s">
        <v>112</v>
      </c>
      <c r="C26" s="355">
        <f>SUM(C27:D28)</f>
        <v>2481487.9</v>
      </c>
      <c r="D26" s="356">
        <f>C26/'CF - 2025'!$P$30</f>
        <v>7.9063438819758965E-3</v>
      </c>
    </row>
    <row r="27" spans="1:5" x14ac:dyDescent="0.25">
      <c r="A27" s="21"/>
      <c r="B27" s="353" t="s">
        <v>214</v>
      </c>
      <c r="C27" s="517">
        <v>2481487.9</v>
      </c>
      <c r="D27" s="518"/>
    </row>
    <row r="28" spans="1:5" ht="5.0999999999999996" customHeight="1" x14ac:dyDescent="0.25"/>
    <row r="29" spans="1:5" x14ac:dyDescent="0.25">
      <c r="B29" s="354" t="s">
        <v>112</v>
      </c>
      <c r="C29" s="355">
        <f>SUM(C30:D31)</f>
        <v>-3227969.7</v>
      </c>
      <c r="D29" s="356">
        <f>C29/'CF - 2025'!$P$30</f>
        <v>-1.0284732191842874E-2</v>
      </c>
    </row>
    <row r="30" spans="1:5" x14ac:dyDescent="0.25">
      <c r="B30" s="353" t="s">
        <v>215</v>
      </c>
      <c r="C30" s="517">
        <v>-4227969.7</v>
      </c>
      <c r="D30" s="518"/>
    </row>
    <row r="31" spans="1:5" x14ac:dyDescent="0.25">
      <c r="B31" s="381" t="s">
        <v>216</v>
      </c>
      <c r="C31" s="517">
        <v>1000000</v>
      </c>
      <c r="D31" s="518"/>
    </row>
    <row r="32" spans="1:5" ht="4.5" customHeight="1" x14ac:dyDescent="0.25"/>
    <row r="33" spans="2:4" x14ac:dyDescent="0.25">
      <c r="B33" s="464" t="s">
        <v>217</v>
      </c>
      <c r="C33" s="355">
        <f>C34</f>
        <v>16702778.781783968</v>
      </c>
      <c r="D33" s="356">
        <f>C33/'CF - 2025'!$P$30</f>
        <v>5.3217230208277254E-2</v>
      </c>
    </row>
    <row r="34" spans="2:4" x14ac:dyDescent="0.25">
      <c r="B34" s="380" t="s">
        <v>352</v>
      </c>
      <c r="C34" s="517">
        <f>'Tarifa Social'!E34</f>
        <v>16702778.781783968</v>
      </c>
      <c r="D34" s="518"/>
    </row>
    <row r="35" spans="2:4" ht="4.5" customHeight="1" x14ac:dyDescent="0.25"/>
    <row r="36" spans="2:4" ht="15" customHeight="1" x14ac:dyDescent="0.25">
      <c r="B36" s="465" t="s">
        <v>321</v>
      </c>
      <c r="C36" s="406">
        <v>-17000000</v>
      </c>
      <c r="D36" s="356">
        <f>C36/'CF - 2025'!$P$30</f>
        <v>-5.4164215748781303E-2</v>
      </c>
    </row>
    <row r="37" spans="2:4" x14ac:dyDescent="0.25">
      <c r="B37" s="405" t="s">
        <v>353</v>
      </c>
      <c r="C37" s="517">
        <v>-17000000</v>
      </c>
      <c r="D37" s="518"/>
    </row>
    <row r="38" spans="2:4" ht="4.5" customHeight="1" x14ac:dyDescent="0.25"/>
    <row r="39" spans="2:4" x14ac:dyDescent="0.25">
      <c r="B39" s="219" t="s">
        <v>64</v>
      </c>
      <c r="C39" s="214">
        <f>SUM(C11,C15,C20,C23,C26,C29,C33,C36)</f>
        <v>-1477682.7374319453</v>
      </c>
      <c r="D39" s="363">
        <f>C39/'CF - 2025'!P30</f>
        <v>-4.7080897999125671E-3</v>
      </c>
    </row>
    <row r="40" spans="2:4" x14ac:dyDescent="0.25"/>
    <row r="41" spans="2:4" x14ac:dyDescent="0.25"/>
    <row r="42" spans="2:4" x14ac:dyDescent="0.25"/>
  </sheetData>
  <mergeCells count="13">
    <mergeCell ref="C37:D37"/>
    <mergeCell ref="C31:D31"/>
    <mergeCell ref="C34:D34"/>
    <mergeCell ref="B9:D9"/>
    <mergeCell ref="C12:D12"/>
    <mergeCell ref="C13:D13"/>
    <mergeCell ref="C16:D16"/>
    <mergeCell ref="C30:D30"/>
    <mergeCell ref="C17:D17"/>
    <mergeCell ref="C18:D18"/>
    <mergeCell ref="C21:D21"/>
    <mergeCell ref="C24:D24"/>
    <mergeCell ref="C27:D27"/>
  </mergeCells>
  <phoneticPr fontId="31" type="noConversion"/>
  <hyperlinks>
    <hyperlink ref="B33" location="'Tarifa Social'!A1" display="Tarifa Social - Lei Federal nº 14.898/2024" xr:uid="{91ACDF58-FD35-44B5-869E-AC741E35CF42}"/>
    <hyperlink ref="B36" location="'Compensação Tributária'!A1" display="Compensação Tributária PASEP/COFINS" xr:uid="{E4212E4A-B2A1-4F26-85A7-EF700A45DE9E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95FB8F595771546BCC83FFC58F4EB83" ma:contentTypeVersion="13" ma:contentTypeDescription="Crie um novo documento." ma:contentTypeScope="" ma:versionID="72385ff7967c0cdeaba811098ab62c5c">
  <xsd:schema xmlns:xsd="http://www.w3.org/2001/XMLSchema" xmlns:xs="http://www.w3.org/2001/XMLSchema" xmlns:p="http://schemas.microsoft.com/office/2006/metadata/properties" xmlns:ns2="4b520b24-8996-453a-8c5e-60294695dd12" xmlns:ns3="12eaf6f9-417e-4436-811b-51d381a4d0a9" targetNamespace="http://schemas.microsoft.com/office/2006/metadata/properties" ma:root="true" ma:fieldsID="c20dd1e198b70f77b9128d1b1b3259c3" ns2:_="" ns3:_="">
    <xsd:import namespace="4b520b24-8996-453a-8c5e-60294695dd12"/>
    <xsd:import namespace="12eaf6f9-417e-4436-811b-51d381a4d0a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520b24-8996-453a-8c5e-60294695dd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eaf6f9-417e-4436-811b-51d381a4d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b520b24-8996-453a-8c5e-60294695dd12">
      <UserInfo>
        <DisplayName>Cássio Leandro Cossenzo</DisplayName>
        <AccountId>20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DF9B725-14FE-4C9C-A0D1-54DA2891A9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646C9F-3384-47EC-8E26-EF084D250F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520b24-8996-453a-8c5e-60294695dd12"/>
    <ds:schemaRef ds:uri="12eaf6f9-417e-4436-811b-51d381a4d0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E5C07B-A263-424C-869C-57429B3A7A91}">
  <ds:schemaRefs>
    <ds:schemaRef ds:uri="http://schemas.microsoft.com/office/2006/metadata/properties"/>
    <ds:schemaRef ds:uri="12eaf6f9-417e-4436-811b-51d381a4d0a9"/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4b520b24-8996-453a-8c5e-60294695dd1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2</vt:i4>
      </vt:variant>
    </vt:vector>
  </HeadingPairs>
  <TitlesOfParts>
    <vt:vector size="16" baseType="lpstr">
      <vt:lpstr>Fórmulas</vt:lpstr>
      <vt:lpstr>Parâmetros</vt:lpstr>
      <vt:lpstr>Índices_2024</vt:lpstr>
      <vt:lpstr>Bônus-Desconto</vt:lpstr>
      <vt:lpstr>Volume_2024</vt:lpstr>
      <vt:lpstr>VPA 2025</vt:lpstr>
      <vt:lpstr>VPB 2025</vt:lpstr>
      <vt:lpstr>CF - 2025</vt:lpstr>
      <vt:lpstr>Outros CF</vt:lpstr>
      <vt:lpstr>Tarifa Social</vt:lpstr>
      <vt:lpstr>Compensação Tributária</vt:lpstr>
      <vt:lpstr>RTA 2025</vt:lpstr>
      <vt:lpstr>Tarifas 2025</vt:lpstr>
      <vt:lpstr>4ª RTP</vt:lpstr>
      <vt:lpstr>'RTA 2025'!Area_de_impressao</vt:lpstr>
      <vt:lpstr>'Tarifas 2025'!Area_de_impressao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cassio.leandro</dc:creator>
  <cp:keywords/>
  <dc:description/>
  <cp:lastModifiedBy>Jéssica Sousa de Araujo</cp:lastModifiedBy>
  <cp:revision/>
  <dcterms:created xsi:type="dcterms:W3CDTF">2013-12-30T11:25:26Z</dcterms:created>
  <dcterms:modified xsi:type="dcterms:W3CDTF">2025-04-28T14:53:20Z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0x010100695FB8F595771546BCC83FFC58F4EB83</vt:lpwstr>
  </property>
  <property fmtid="{D5CDD505-2E9C-101B-9397-08002B2CF9AE}" pid="3" name="AuthorIds_UIVersion_8192">
    <vt:lpwstr>165</vt:lpwstr>
  </property>
</Properties>
</file>