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luis.moraes.ADASA\Downloads\"/>
    </mc:Choice>
  </mc:AlternateContent>
  <xr:revisionPtr revIDLastSave="0" documentId="8_{7D1DB020-02A4-46F9-9F8E-1AA275E55FAE}" xr6:coauthVersionLast="47" xr6:coauthVersionMax="47" xr10:uidLastSave="{00000000-0000-0000-0000-000000000000}"/>
  <bookViews>
    <workbookView xWindow="28680" yWindow="-120" windowWidth="29040" windowHeight="15840" tabRatio="992" firstSheet="4" activeTab="4" xr2:uid="{00000000-000D-0000-FFFF-FFFF00000000}"/>
  </bookViews>
  <sheets>
    <sheet name="Índice" sheetId="130" r:id="rId1"/>
    <sheet name="Preço da Coleta" sheetId="120" r:id="rId2"/>
    <sheet name="Preço do Tratamento" sheetId="122" r:id="rId3"/>
    <sheet name="Preço Disp Final" sheetId="19" r:id="rId4"/>
    <sheet name="Preço do RCC" sheetId="123" r:id="rId5"/>
    <sheet name="Preço_Eventos" sheetId="124" r:id="rId6"/>
    <sheet name="Custo com pessoal" sheetId="112" r:id="rId7"/>
    <sheet name="Custo com Energia" sheetId="113" r:id="rId8"/>
    <sheet name="Custo com Água" sheetId="116" r:id="rId9"/>
    <sheet name="Custos operacionais " sheetId="114" r:id="rId10"/>
    <sheet name="Bens de Uso Geral" sheetId="127" r:id="rId11"/>
    <sheet name="BRC" sheetId="118" r:id="rId12"/>
    <sheet name="Custo de Capital" sheetId="14" r:id="rId13"/>
    <sheet name="Rem. Adequada" sheetId="119" r:id="rId14"/>
    <sheet name="Distâncias" sheetId="117" r:id="rId15"/>
    <sheet name="BDI_DispF" sheetId="125" r:id="rId16"/>
    <sheet name="BDI_Geral" sheetId="121" r:id="rId17"/>
    <sheet name="Anexo Único" sheetId="126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R57_2007" localSheetId="15">[1]Parâmetros!#REF!</definedName>
    <definedName name="_R57_2007" localSheetId="11">[1]Parâmetros!#REF!</definedName>
    <definedName name="_R57_2007" localSheetId="13">[1]Parâmetros!#REF!</definedName>
    <definedName name="_R57_2007">[1]Parâmetros!#REF!</definedName>
    <definedName name="AdicionalIR" localSheetId="15">#REF!</definedName>
    <definedName name="AdicionalIR" localSheetId="11">#REF!</definedName>
    <definedName name="AdicionalIR" localSheetId="13">#REF!</definedName>
    <definedName name="AdicionalIR">#REF!</definedName>
    <definedName name="AlugCentral">'[2]E-AdmSist'!$D$9</definedName>
    <definedName name="AlugCom">'[2]E-AdmSist'!$D$11</definedName>
    <definedName name="AlugETA_ETE">'[2]E-AdmSist'!$D$12</definedName>
    <definedName name="AlugPA">'[2]E-AdmSist'!$D$10</definedName>
    <definedName name="_xlnm.Print_Area" localSheetId="15">#REF!</definedName>
    <definedName name="_xlnm.Print_Area">#REF!</definedName>
    <definedName name="AreaEst">'[2]E-AdmSist'!$I$9</definedName>
    <definedName name="AreaLabC">'[2]E-AdmSist'!$D$21</definedName>
    <definedName name="AreaOficC">'[2]E-AdmSist'!$D$22</definedName>
    <definedName name="B" localSheetId="15">[3]DRE!#REF!</definedName>
    <definedName name="B">[3]DRE!#REF!</definedName>
    <definedName name="BaseIR" localSheetId="15">#REF!</definedName>
    <definedName name="BaseIR">#REF!</definedName>
    <definedName name="Beneficio">'[2]P-Indices'!$D$20</definedName>
    <definedName name="Capacitação">'[2]P-Indices'!$D$18</definedName>
    <definedName name="CAPM" localSheetId="15">#REF!</definedName>
    <definedName name="CAPM">#REF!</definedName>
    <definedName name="CRA">'[2]C-Teleatendimento'!$D$9</definedName>
    <definedName name="CS_NEG" localSheetId="15">#REF!</definedName>
    <definedName name="CS_NEG">#REF!</definedName>
    <definedName name="CS_PERC" localSheetId="15">#REF!</definedName>
    <definedName name="CS_PERC">#REF!</definedName>
    <definedName name="CTIPO" localSheetId="15">#REF!</definedName>
    <definedName name="CTIPO">#REF!</definedName>
    <definedName name="CustAnalise">'[2]E-AdmSist'!$D$23</definedName>
    <definedName name="CustElet">'[2]E-AdmSist'!$D$18</definedName>
    <definedName name="CustEst">'[2]E-AdmSist'!$I$10</definedName>
    <definedName name="CustLimp">'[2]E-AdmSist'!$D$19</definedName>
    <definedName name="CustMovel">'[2]E-AdmSist'!$D$15</definedName>
    <definedName name="CustTel">'[2]E-AdmSist'!$D$17</definedName>
    <definedName name="Decimo_Terceiro">'[2]P-Indices'!$D$12</definedName>
    <definedName name="Deposito">'[2]E-AdmSist'!$D$16</definedName>
    <definedName name="dia_TrabMesCom">'[2]P-Indices'!$D$25</definedName>
    <definedName name="dia_TrabSem">'[2]P-Indices'!$D$24</definedName>
    <definedName name="Equipes">'[2]P-Equipes'!$B$11:$AV$105</definedName>
    <definedName name="FC_ElevEsg">'[2]E-Elevatorias'!$M$176</definedName>
    <definedName name="FC_ETE">'[2]E-ETA-ETE'!$J$86</definedName>
    <definedName name="fdgf">'[2]P-Indices'!$D$15</definedName>
    <definedName name="Ferias">'[2]P-Indices'!$D$13</definedName>
    <definedName name="FGTS">'[2]P-Indices'!$D$10</definedName>
    <definedName name="FreqAtCom">'[2]E-Estrutura'!$D$458</definedName>
    <definedName name="G" localSheetId="15">#REF!</definedName>
    <definedName name="G">#REF!</definedName>
    <definedName name="gfhfgh">'[2]E-AdmSist'!$D$44</definedName>
    <definedName name="GR" localSheetId="15">#REF!</definedName>
    <definedName name="GR">#REF!</definedName>
    <definedName name="h_ElevEnerg">'[2]E-Elevatorias'!$D$10</definedName>
    <definedName name="h_OpEnerg">'[2]E-ETA-ETE'!$D$34</definedName>
    <definedName name="h_TrabDia">'[2]P-Indices'!$D$22</definedName>
    <definedName name="h_TrabOeM">'[2]P-Indices'!$D$23</definedName>
    <definedName name="h_VecDia">'[2]P-Indices'!$D$28</definedName>
    <definedName name="HoraExtra">'[2]P-Indices'!$D$19</definedName>
    <definedName name="IGPM_1">[2]Controle!$D$13</definedName>
    <definedName name="IGPM_2">[2]Controle!$D$16</definedName>
    <definedName name="Inativos">'[2]E-Economias'!$L$26</definedName>
    <definedName name="inflation" localSheetId="15">#REF!</definedName>
    <definedName name="inflation">#REF!</definedName>
    <definedName name="Insalub_Max">'[2]P-Indices'!$D$17</definedName>
    <definedName name="Insalub_Med">'[2]P-Indices'!$D$16</definedName>
    <definedName name="Insalub_Min">'[2]P-Indices'!$D$15</definedName>
    <definedName name="INSS">'[2]P-Indices'!$D$9</definedName>
    <definedName name="InsumEscrit">'[2]E-AdmSist'!$D$20</definedName>
    <definedName name="InvHardPC">'[2]E-AdmSist'!$D$44</definedName>
    <definedName name="InvSoftPC">'[2]E-AdmSist'!$D$43</definedName>
    <definedName name="IPCA_1">[2]Controle!$D$12</definedName>
    <definedName name="IPCA_2">[2]Controle!$D$15</definedName>
    <definedName name="ir_perpetuo" localSheetId="15">#REF!</definedName>
    <definedName name="ir_perpetuo">#REF!</definedName>
    <definedName name="Lig_Ativ_Esg">'[2]E-Economias'!$J$39</definedName>
    <definedName name="Ligacoes_Tot">'[2]E-Economias'!$J$26</definedName>
    <definedName name="Lucro" localSheetId="15">#REF!</definedName>
    <definedName name="Lucro">#REF!</definedName>
    <definedName name="m2_Acom">'[2]E-AdmSist'!$D$14</definedName>
    <definedName name="m2_Indiv">'[2]E-AdmSist'!$D$13</definedName>
    <definedName name="Maquina">'[2]P-Veiculos'!$C$33:$W$47</definedName>
    <definedName name="MESES_A_PROJETAR" localSheetId="15">#REF!</definedName>
    <definedName name="MESES_A_PROJETAR">#REF!</definedName>
    <definedName name="MobDCom">'[2]E-AdmSist'!$I$13</definedName>
    <definedName name="MobDEng">'[2]E-AdmSist'!$I$15</definedName>
    <definedName name="MobDGest">'[2]E-AdmSist'!$I$16</definedName>
    <definedName name="MobPres">'[2]E-AdmSist'!$I$12</definedName>
    <definedName name="model" localSheetId="15">[4]Controle!#REF!</definedName>
    <definedName name="model">[4]Controle!#REF!</definedName>
    <definedName name="moeda" localSheetId="15">#REF!</definedName>
    <definedName name="moeda">#REF!</definedName>
    <definedName name="o">'[5]T-Bonds'!$E$6</definedName>
    <definedName name="Pensao">'[2]P-Indices'!$D$21</definedName>
    <definedName name="PeriodoTaxa" localSheetId="15">#REF!</definedName>
    <definedName name="PeriodoTaxa">#REF!</definedName>
    <definedName name="perpetuo" localSheetId="15">[3]DRE!#REF!</definedName>
    <definedName name="perpetuo">[3]DRE!#REF!</definedName>
    <definedName name="ponderada_abaixo" localSheetId="15">#REF!</definedName>
    <definedName name="ponderada_abaixo">#REF!</definedName>
    <definedName name="ponderada_acima" localSheetId="15">#REF!</definedName>
    <definedName name="ponderada_acima">#REF!</definedName>
    <definedName name="ponderada_simples" localSheetId="15">#REF!</definedName>
    <definedName name="ponderada_simples">#REF!</definedName>
    <definedName name="PREJFISC_ACUM" localSheetId="15">#REF!</definedName>
    <definedName name="PREJFISC_ACUM">#REF!</definedName>
    <definedName name="ProdQuim">'[2]E-ETA-ETE'!$C$9:$D$29</definedName>
    <definedName name="Proposta">#REF!</definedName>
    <definedName name="SalarioMinimo">'[2]P-Indices'!$D$11</definedName>
    <definedName name="Salarios">'[2]P-Salarios'!$C$9:$V$60</definedName>
    <definedName name="sem_TrabAno">'[2]P-Indices'!$D$26</definedName>
    <definedName name="sem_TrabVEC">'[2]P-Indices'!$D$27</definedName>
    <definedName name="simple" localSheetId="15">[4]BETA!#REF!</definedName>
    <definedName name="simple">[4]BETA!#REF!</definedName>
    <definedName name="TarifConsElev">'[2]E-Elevatorias'!$D$9</definedName>
    <definedName name="TarifConsOp">'[2]E-ETA-ETE'!$D$33</definedName>
    <definedName name="TarifDemElev">'[2]E-Elevatorias'!$D$8</definedName>
    <definedName name="TarifDemOp">'[2]E-ETA-ETE'!$D$32</definedName>
    <definedName name="TaxaDesconto" localSheetId="15">#REF!</definedName>
    <definedName name="TaxaDesconto">#REF!</definedName>
    <definedName name="_xlnm.Print_Titles" localSheetId="15">#REF!</definedName>
    <definedName name="_xlnm.Print_Titles">#REF!</definedName>
    <definedName name="TMA">'[2]E-Estrutura'!$D$457</definedName>
    <definedName name="Tx_Desc" localSheetId="15">[3]DRE!#REF!</definedName>
    <definedName name="Tx_Desc">[3]DRE!#REF!</definedName>
    <definedName name="Veiculos">'[2]P-Veiculos'!$C$13:$W$27</definedName>
    <definedName name="VidaHard">'[2]E-AdmSist'!$E$34</definedName>
    <definedName name="VidaHardPC">'[2]E-AdmSist'!$E$36</definedName>
    <definedName name="VidaSoft">'[2]E-AdmSist'!$E$33</definedName>
    <definedName name="VidaSoftPC">'[2]E-AdmSist'!$E$35</definedName>
    <definedName name="WACC">[2]Controle!$D$9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19" l="1"/>
  <c r="D9" i="118"/>
  <c r="D19" i="118"/>
  <c r="D20" i="118"/>
  <c r="D22" i="118"/>
  <c r="D24" i="119"/>
  <c r="E11" i="121"/>
  <c r="E15" i="121"/>
  <c r="E18" i="121"/>
  <c r="B10" i="124"/>
  <c r="B12" i="124"/>
  <c r="I3" i="124"/>
  <c r="G13" i="124"/>
  <c r="E10" i="126"/>
  <c r="G4" i="124"/>
  <c r="I4" i="124"/>
  <c r="G14" i="124"/>
  <c r="E11" i="126"/>
  <c r="G5" i="124"/>
  <c r="I5" i="124"/>
  <c r="G15" i="124"/>
  <c r="E12" i="126"/>
  <c r="G6" i="124"/>
  <c r="I6" i="124"/>
  <c r="G16" i="124"/>
  <c r="E13" i="126"/>
  <c r="G7" i="124"/>
  <c r="I7" i="124"/>
  <c r="G17" i="124"/>
  <c r="E14" i="126"/>
  <c r="I2" i="124"/>
  <c r="G12" i="124"/>
  <c r="E9" i="126"/>
  <c r="H19" i="114"/>
  <c r="H7" i="114"/>
  <c r="H8" i="114"/>
  <c r="H9" i="114"/>
  <c r="H10" i="114"/>
  <c r="E11" i="114"/>
  <c r="H11" i="114"/>
  <c r="H12" i="114"/>
  <c r="H14" i="114"/>
  <c r="H15" i="114"/>
  <c r="H5" i="114"/>
  <c r="D32" i="118"/>
  <c r="B7" i="124"/>
  <c r="C38" i="123"/>
  <c r="E11" i="125"/>
  <c r="E15" i="125"/>
  <c r="E18" i="125"/>
  <c r="C22" i="123"/>
  <c r="C39" i="123"/>
  <c r="G30" i="118"/>
  <c r="D68" i="119"/>
  <c r="D61" i="119"/>
  <c r="D56" i="119"/>
  <c r="C41" i="123"/>
  <c r="E8" i="126"/>
  <c r="H27" i="114"/>
  <c r="H30" i="114"/>
  <c r="G13" i="114"/>
  <c r="H37" i="114"/>
  <c r="E24" i="127"/>
  <c r="E23" i="127"/>
  <c r="E22" i="127"/>
  <c r="E21" i="127"/>
  <c r="E20" i="127"/>
  <c r="E19" i="127"/>
  <c r="E18" i="127"/>
  <c r="E17" i="127"/>
  <c r="E16" i="127"/>
  <c r="E25" i="127"/>
  <c r="F16" i="127"/>
  <c r="H29" i="114"/>
  <c r="I3" i="127"/>
  <c r="G16" i="127"/>
  <c r="G9" i="127"/>
  <c r="D9" i="127"/>
  <c r="G8" i="127"/>
  <c r="D8" i="127"/>
  <c r="G7" i="127"/>
  <c r="D7" i="127"/>
  <c r="G6" i="127"/>
  <c r="D6" i="127"/>
  <c r="E6" i="127"/>
  <c r="G5" i="127"/>
  <c r="D5" i="127"/>
  <c r="H16" i="127"/>
  <c r="E5" i="127"/>
  <c r="E7" i="127"/>
  <c r="E8" i="127"/>
  <c r="E9" i="127"/>
  <c r="D10" i="127"/>
  <c r="E10" i="127"/>
  <c r="G7" i="118"/>
  <c r="D32" i="119"/>
  <c r="C20" i="19"/>
  <c r="H42" i="114"/>
  <c r="H36" i="114"/>
  <c r="H33" i="114"/>
  <c r="C11" i="123"/>
  <c r="C12" i="123"/>
  <c r="C12" i="122"/>
  <c r="C14" i="120"/>
  <c r="D20" i="119"/>
  <c r="D33" i="119"/>
  <c r="D35" i="119"/>
  <c r="D11" i="119"/>
  <c r="C14" i="19"/>
  <c r="D19" i="119"/>
  <c r="D18" i="119"/>
  <c r="D27" i="119"/>
  <c r="D10" i="119"/>
  <c r="D13" i="119"/>
  <c r="D26" i="119"/>
  <c r="H23" i="114"/>
  <c r="G22" i="114"/>
  <c r="E22" i="114"/>
  <c r="C9" i="122"/>
  <c r="C13" i="19"/>
  <c r="C12" i="19"/>
  <c r="H22" i="114"/>
  <c r="H21" i="114"/>
  <c r="C8" i="122"/>
  <c r="C10" i="122"/>
  <c r="C14" i="122"/>
  <c r="G11" i="114"/>
  <c r="C18" i="19"/>
  <c r="D9" i="117"/>
  <c r="C11" i="120"/>
  <c r="C12" i="120"/>
  <c r="C16" i="120"/>
  <c r="E5" i="126"/>
  <c r="C9" i="117"/>
  <c r="E8" i="116"/>
  <c r="G8" i="116"/>
  <c r="E7" i="116"/>
  <c r="G7" i="116"/>
  <c r="G9" i="116"/>
  <c r="G10" i="116"/>
  <c r="H7" i="113"/>
  <c r="G7" i="113"/>
  <c r="I7" i="113"/>
  <c r="I8" i="113"/>
  <c r="C9" i="19"/>
  <c r="C16" i="19"/>
  <c r="H107" i="112"/>
  <c r="H108" i="112"/>
  <c r="H109" i="112"/>
  <c r="H99" i="112"/>
  <c r="H100" i="112"/>
  <c r="H101" i="112"/>
  <c r="H91" i="112"/>
  <c r="H92" i="112"/>
  <c r="H93" i="112"/>
  <c r="H83" i="112"/>
  <c r="H84" i="112"/>
  <c r="H85" i="112"/>
  <c r="H75" i="112"/>
  <c r="H76" i="112"/>
  <c r="H77" i="112"/>
  <c r="H68" i="112"/>
  <c r="H69" i="112"/>
  <c r="H54" i="112"/>
  <c r="H55" i="112"/>
  <c r="H44" i="112"/>
  <c r="H45" i="112"/>
  <c r="H33" i="112"/>
  <c r="H34" i="112"/>
  <c r="H20" i="112"/>
  <c r="H21" i="112"/>
  <c r="C10" i="19"/>
  <c r="H112" i="112"/>
  <c r="C19" i="19"/>
  <c r="C22" i="19"/>
  <c r="E6" i="126"/>
  <c r="D35" i="118"/>
  <c r="D37" i="118"/>
  <c r="D62" i="119"/>
  <c r="D55" i="119"/>
  <c r="D54" i="119"/>
  <c r="D63" i="119"/>
  <c r="D69" i="119"/>
  <c r="D71" i="119"/>
  <c r="D60" i="119"/>
  <c r="D47" i="119"/>
  <c r="C16" i="123"/>
  <c r="D46" i="119"/>
  <c r="D49" i="119"/>
  <c r="C15" i="123"/>
  <c r="C14" i="123"/>
  <c r="C18" i="123"/>
  <c r="C21" i="123"/>
  <c r="C24" i="123"/>
  <c r="E7" i="126"/>
</calcChain>
</file>

<file path=xl/sharedStrings.xml><?xml version="1.0" encoding="utf-8"?>
<sst xmlns="http://schemas.openxmlformats.org/spreadsheetml/2006/main" count="582" uniqueCount="341">
  <si>
    <t>ÍNDICE DO MODELO PREÇOS PÚBLICOS PARA OS GRANDES GERADORES</t>
  </si>
  <si>
    <t xml:space="preserve">Preços Públicos </t>
  </si>
  <si>
    <t>Informações complementares</t>
  </si>
  <si>
    <t>Preço para coleta de resíduos sólidos</t>
  </si>
  <si>
    <t>Custo com Pessoal</t>
  </si>
  <si>
    <t>Preço para tratamento de resíduos sólidos</t>
  </si>
  <si>
    <t>Custo com Energia</t>
  </si>
  <si>
    <t>Preço público para disposição final no Aterro do Brasília</t>
  </si>
  <si>
    <t>Custo com Água</t>
  </si>
  <si>
    <t>Preços públicos  para disposição final de RCC</t>
  </si>
  <si>
    <t>Custos Operacionais</t>
  </si>
  <si>
    <t>Preços públicos para limpeza de vias e logradouros públicos</t>
  </si>
  <si>
    <t>Bens de Uso Geral</t>
  </si>
  <si>
    <t>Base de Remuneração do Capital</t>
  </si>
  <si>
    <t>Custo de Capital</t>
  </si>
  <si>
    <t>Remuneração Adequada</t>
  </si>
  <si>
    <t>Distâncias</t>
  </si>
  <si>
    <t>BDI_Disposição Final</t>
  </si>
  <si>
    <t>BDI_Geral</t>
  </si>
  <si>
    <t>Anexo Único</t>
  </si>
  <si>
    <t>Cálculo de preço público para coleta de resíduos sólidos</t>
  </si>
  <si>
    <t>Preço Público para Coleta</t>
  </si>
  <si>
    <t>Custos de Coleta de Resíduos Sólidos</t>
  </si>
  <si>
    <t>em R$</t>
  </si>
  <si>
    <t xml:space="preserve">1 Custos Operacionais </t>
  </si>
  <si>
    <t>1.1 Coleta e transporte de resíduos sólidos  (R$/T)</t>
  </si>
  <si>
    <t>1.2 Transferência de Resíduos Sólidos (R$/T)</t>
  </si>
  <si>
    <t>2 Custo da Coleta (sem BDI) (1.1+1.2)</t>
  </si>
  <si>
    <t>3 Bonificação por Despesas Indiretas - BDI</t>
  </si>
  <si>
    <t>3.1 Taxa de BDI</t>
  </si>
  <si>
    <t>Valor da tonelada coletada (R$/T)</t>
  </si>
  <si>
    <t>Cálculo do preço público para tratamento</t>
  </si>
  <si>
    <t xml:space="preserve">Custo de Tratamento de Resíduos </t>
  </si>
  <si>
    <t>2 Quantidade de resídios tratados (Toneladas)</t>
  </si>
  <si>
    <t>3 Custo por Tonelada Tratada</t>
  </si>
  <si>
    <t>4 Bonificação por Despesas Indiretas - BDI</t>
  </si>
  <si>
    <t>4.1 Taxa de BDI</t>
  </si>
  <si>
    <t>Custo da tonelada tratada (R$/T)</t>
  </si>
  <si>
    <t>Cálculo de preço público para aterramento no Aterro de Brasília</t>
  </si>
  <si>
    <t>Preço Público para Aterramento</t>
  </si>
  <si>
    <t>Custos do Aterro Oeste</t>
  </si>
  <si>
    <t xml:space="preserve">. Custos Operacionais </t>
  </si>
  <si>
    <t>. Remuneração Adequada</t>
  </si>
  <si>
    <t xml:space="preserve">. Remuneração dos Investimentos </t>
  </si>
  <si>
    <t xml:space="preserve"> </t>
  </si>
  <si>
    <t>. Quota de Reintegração do Capital</t>
  </si>
  <si>
    <t>Total de Custos anual</t>
  </si>
  <si>
    <t>Estimativa de quantidade de tonelada aterrada por ano</t>
  </si>
  <si>
    <t xml:space="preserve">  </t>
  </si>
  <si>
    <t>Custo da tonelada aterrada (sem BDI)</t>
  </si>
  <si>
    <t>Taxa de BDI</t>
  </si>
  <si>
    <t>Valor da tonelada aterrada (R$/T)</t>
  </si>
  <si>
    <t xml:space="preserve">Cálculo do preço público para disposição final de RCC segregado </t>
  </si>
  <si>
    <t>Aterro do Jóquei</t>
  </si>
  <si>
    <t>Preço Público para Disposição Final</t>
  </si>
  <si>
    <t>Custos do Aterro do Jóquei</t>
  </si>
  <si>
    <t>Valor da tonelada aterrada (R$/t)</t>
  </si>
  <si>
    <t>Cálculo do preço público para disposição final de RCC não segregado</t>
  </si>
  <si>
    <t>Custos do Aterro Jóquei</t>
  </si>
  <si>
    <t>R$/Tonelada</t>
  </si>
  <si>
    <t>. Operação do Aterro do Jóquei</t>
  </si>
  <si>
    <t>Cálculo de preço público para limpeza de vias e logradouros públicos</t>
  </si>
  <si>
    <t xml:space="preserve">Serviço </t>
  </si>
  <si>
    <t>Unidade de medida</t>
  </si>
  <si>
    <t>Fator</t>
  </si>
  <si>
    <t>Execução</t>
  </si>
  <si>
    <t>Preço por equipe</t>
  </si>
  <si>
    <t xml:space="preserve">Limpeza de vias ou logradouros públicos realizada em dias úteis, cujo tempo de execução dos serviços seja de até 4 horas </t>
  </si>
  <si>
    <t>Equipe</t>
  </si>
  <si>
    <t>Dias úteis</t>
  </si>
  <si>
    <t xml:space="preserve">Limpeza de vias ou logradouros públicos realizada em dias úteis, cujo tempo de execução dos serviços seja superior a 4 horas </t>
  </si>
  <si>
    <t>Preço público da diária para eventos</t>
  </si>
  <si>
    <t>Limpeza de vias e logradouros realizada em feriados, cujo tempo de execução dos serviços seja de até 4 horas</t>
  </si>
  <si>
    <t>Feriados</t>
  </si>
  <si>
    <t>Limpeza de vias e logradouros realizada em feriados, cujo tempo de execução dos serviços seja superior até 4 horas</t>
  </si>
  <si>
    <t>Custos da diária da equipe</t>
  </si>
  <si>
    <t>Limpeza de vias e logradouros públicos realizada no período noturno (22 as 5h), cujo tempo de execução dos serviços seja de até 4 horas</t>
  </si>
  <si>
    <t>Noturno (22 as 5h)</t>
  </si>
  <si>
    <t>Limpeza de vias e logradouros públicos realizada no período noturno (22 as 5h), cujo tempo de execução dos serviços seja superior a 4 horas</t>
  </si>
  <si>
    <t>1.1 Custo da diária da equipe</t>
  </si>
  <si>
    <t>2 Bonificação por Despesas Indiretas - BDI</t>
  </si>
  <si>
    <t>TABELA DE PREÇOS PÚBLICOS PARA OS SERVIÇOS DE LIMPEZA DE VIAS E LOGRADOUROS</t>
  </si>
  <si>
    <t>2.1 Taxa de BDI</t>
  </si>
  <si>
    <t/>
  </si>
  <si>
    <t>Valor da diária da equipe</t>
  </si>
  <si>
    <t>P L A N I L H A   D E   C U S T O   D E   M Ã O   D E   O B R A</t>
  </si>
  <si>
    <t>ATERRO OESTE</t>
  </si>
  <si>
    <t>FONTE</t>
  </si>
  <si>
    <t>SLU JUN/2016 SISTEMA ÚNICO DE GESTÃO DE RECURSOS HUMANOS</t>
  </si>
  <si>
    <t>DATA:  01/06/2016</t>
  </si>
  <si>
    <t xml:space="preserve">TIPO DE MÃO DE OBRA </t>
  </si>
  <si>
    <t>REMUNERAÇÃO DO MOTORISTA NOTURNO</t>
  </si>
  <si>
    <t>R$</t>
  </si>
  <si>
    <t>Vencimento</t>
  </si>
  <si>
    <t>Vpni L4584/11 - DEC</t>
  </si>
  <si>
    <t>Adicional tempo d</t>
  </si>
  <si>
    <t>Auxilio alimentação</t>
  </si>
  <si>
    <t>Parc.Compll. Aux.</t>
  </si>
  <si>
    <t>GTIT - Lei 4426/2</t>
  </si>
  <si>
    <t>Adicional noturno</t>
  </si>
  <si>
    <t>AB.Permanência EC</t>
  </si>
  <si>
    <t>Gslu Lei 342/92</t>
  </si>
  <si>
    <t>SUB TOTAL</t>
  </si>
  <si>
    <t>TOTAL GERAL P/ MOT/ ANO.</t>
  </si>
  <si>
    <t>REMUNERAÇÃO DO MOTORISTA DIURNO</t>
  </si>
  <si>
    <t>REMUNERAÇÃO DOS BALANCEIROS NOTURNO</t>
  </si>
  <si>
    <t>TOTAL GERAL P/ BALAC/ ANO.</t>
  </si>
  <si>
    <t>REMUNERAÇÃO DOS BALANCEIROS DIURNO</t>
  </si>
  <si>
    <t>REMUNERAÇÃO DO GERENTE</t>
  </si>
  <si>
    <t>Represente DFG/DFA</t>
  </si>
  <si>
    <t>TOTAL GERAL P/ GERENTE/ ANO.</t>
  </si>
  <si>
    <t xml:space="preserve">REMUNERAÇÃO DO MOTORISTA NOTURNO </t>
  </si>
  <si>
    <t>Décimo terceiro</t>
  </si>
  <si>
    <t>Iprev</t>
  </si>
  <si>
    <t>1/3 de Férias</t>
  </si>
  <si>
    <t>REMUNERAÇÃO DO BALANCEIROS NOTURNO</t>
  </si>
  <si>
    <t>TOTAL GERAL P/ BALANCEIROS/ ANO.</t>
  </si>
  <si>
    <t>REMUNERAÇÃO DO BALANCEIROS DIURNO</t>
  </si>
  <si>
    <t>TOTAL GERAL P/ BALANCEIRO/ ANO.</t>
  </si>
  <si>
    <t>TOTAL GERAL P/GERENTE/ ANO.</t>
  </si>
  <si>
    <t>CUSTO TOTAL COM OS SERVIDORES DO ATERRO OESTE</t>
  </si>
  <si>
    <t>ESTIMATIVA DE CONSUMO MENSAL DE ENERGIA ELÉTRICA NO ATERRO DE BRASÍLIA</t>
  </si>
  <si>
    <t>ÓRGÃO</t>
  </si>
  <si>
    <t>DEMANDA ESTIMADA</t>
  </si>
  <si>
    <t>VALOR UNITÁRIO</t>
  </si>
  <si>
    <t>VALOR TOTAL</t>
  </si>
  <si>
    <t>horas no Mês</t>
  </si>
  <si>
    <t>valor total de consumo do mês</t>
  </si>
  <si>
    <t>(KW)</t>
  </si>
  <si>
    <t>(R$/KW/h)</t>
  </si>
  <si>
    <t>R$/h</t>
  </si>
  <si>
    <t>30dias x 20horas</t>
  </si>
  <si>
    <t>SLU</t>
  </si>
  <si>
    <t>CEB</t>
  </si>
  <si>
    <t>TOTAL ANUAL</t>
  </si>
  <si>
    <t>ESTIMATIVA DE CONSUMO MENSAL DE ÁGUA  NO ATERRO OESTE</t>
  </si>
  <si>
    <t>(M3/mês)</t>
  </si>
  <si>
    <t>(R$/m3</t>
  </si>
  <si>
    <t>AGUA - SITE DA CAESB</t>
  </si>
  <si>
    <t>CAESB</t>
  </si>
  <si>
    <t>ESGOTO - SITE DA CAESB</t>
  </si>
  <si>
    <t>TOTAL MENSAL</t>
  </si>
  <si>
    <t>Estimativa de custos operacionais</t>
  </si>
  <si>
    <t>Descrição</t>
  </si>
  <si>
    <t>Unidade</t>
  </si>
  <si>
    <t>Quant Mensal</t>
  </si>
  <si>
    <t>Quant Anual</t>
  </si>
  <si>
    <t>Vl Unit</t>
  </si>
  <si>
    <t>Estimativa mensal</t>
  </si>
  <si>
    <t>Estimativa anual</t>
  </si>
  <si>
    <t>Disposição Final de RSU</t>
  </si>
  <si>
    <t>1.1</t>
  </si>
  <si>
    <t>Material de Consumo</t>
  </si>
  <si>
    <t>1.2</t>
  </si>
  <si>
    <t>Vigilância</t>
  </si>
  <si>
    <t>1.3</t>
  </si>
  <si>
    <t>Telefone</t>
  </si>
  <si>
    <t>1.4</t>
  </si>
  <si>
    <t>Água e Esgoto</t>
  </si>
  <si>
    <t>1.5</t>
  </si>
  <si>
    <t>Energia Elétrica</t>
  </si>
  <si>
    <t>1.6</t>
  </si>
  <si>
    <t>Aterramento</t>
  </si>
  <si>
    <t>Tonelada</t>
  </si>
  <si>
    <t>1.7</t>
  </si>
  <si>
    <t>Tratamento de chorrume</t>
  </si>
  <si>
    <t>1.8</t>
  </si>
  <si>
    <t>Pessoal próprio</t>
  </si>
  <si>
    <t>1.9</t>
  </si>
  <si>
    <t>Veículos</t>
  </si>
  <si>
    <t>1.10</t>
  </si>
  <si>
    <t>Combustíves e Lubrificantes</t>
  </si>
  <si>
    <t>1.11</t>
  </si>
  <si>
    <t>Manutenção</t>
  </si>
  <si>
    <t>1.12</t>
  </si>
  <si>
    <t>Móveis e Equipamentos administrativos</t>
  </si>
  <si>
    <t>1.13</t>
  </si>
  <si>
    <t>Monitoramento das balanças</t>
  </si>
  <si>
    <t>1.14</t>
  </si>
  <si>
    <t xml:space="preserve">Provisão para gestão do passivo ambiental </t>
  </si>
  <si>
    <t>Tratamento por compostagem</t>
  </si>
  <si>
    <t>2.1</t>
  </si>
  <si>
    <t>Operação da Usina de Triagem e Compostagem</t>
  </si>
  <si>
    <t>2.2</t>
  </si>
  <si>
    <t>2.3</t>
  </si>
  <si>
    <t>Transporte de rejeitos para o aterro sanitário</t>
  </si>
  <si>
    <t>2.4</t>
  </si>
  <si>
    <t>Disposição final de rejeitos</t>
  </si>
  <si>
    <t>2.5</t>
  </si>
  <si>
    <t>Limpeza e Conservação</t>
  </si>
  <si>
    <t>2.6</t>
  </si>
  <si>
    <t>2.7</t>
  </si>
  <si>
    <t>2.8</t>
  </si>
  <si>
    <t>2.9</t>
  </si>
  <si>
    <t>2.10</t>
  </si>
  <si>
    <t>Disposição Final de RCC</t>
  </si>
  <si>
    <t>3.1</t>
  </si>
  <si>
    <t>Operação do Aterro</t>
  </si>
  <si>
    <t>3.2</t>
  </si>
  <si>
    <t>3.2.1</t>
  </si>
  <si>
    <t>Núcleo do Aterro do Jóquei</t>
  </si>
  <si>
    <t>3.2.2</t>
  </si>
  <si>
    <t>Núcleo de Resíduos da Construção Civil</t>
  </si>
  <si>
    <t>3.3</t>
  </si>
  <si>
    <t>3.4</t>
  </si>
  <si>
    <t>3.5</t>
  </si>
  <si>
    <t>3.6</t>
  </si>
  <si>
    <t>3.7</t>
  </si>
  <si>
    <t>3.8</t>
  </si>
  <si>
    <t>3.9</t>
  </si>
  <si>
    <t>3.10</t>
  </si>
  <si>
    <t>Coleta e transporte de resíduos sólidos</t>
  </si>
  <si>
    <t>Bens de uso Geral - Aterro de Brasília</t>
  </si>
  <si>
    <t>SELIC</t>
  </si>
  <si>
    <t>Ítem</t>
  </si>
  <si>
    <t>Valor Unitário</t>
  </si>
  <si>
    <t>Quant.</t>
  </si>
  <si>
    <t>Valor Total</t>
  </si>
  <si>
    <t>Depreciação anual</t>
  </si>
  <si>
    <t>Vida útil</t>
  </si>
  <si>
    <t>Taxa anual</t>
  </si>
  <si>
    <t>MESA DE REUNIÃO</t>
  </si>
  <si>
    <t>MESA ESCRITÓRIO L</t>
  </si>
  <si>
    <t>CADEIRA ESCRITÓRIO ROTATIVA</t>
  </si>
  <si>
    <t xml:space="preserve"> ARMARIO  1,20X1,20 ALTURA 2,10</t>
  </si>
  <si>
    <t>COMPUTADOR</t>
  </si>
  <si>
    <t>TOTAL</t>
  </si>
  <si>
    <t>ESTIMATIVA DE PREÇO DA FISCALIZAÇÃO REMOTA DAS BALANÇAS DE PESAGENS DE CAMINHÕES NO ATERRO BRASÍLIA</t>
  </si>
  <si>
    <t>ÍTEM</t>
  </si>
  <si>
    <t>DESCRIÇÃO</t>
  </si>
  <si>
    <t>PREÇO UNIT.</t>
  </si>
  <si>
    <t>QUANT</t>
  </si>
  <si>
    <t>Amortização</t>
  </si>
  <si>
    <t>juros</t>
  </si>
  <si>
    <t>Custo de oportunidade</t>
  </si>
  <si>
    <t>COMPUTADORES DA CABINE  DE PESAGEM</t>
  </si>
  <si>
    <t>COMPUTADORES PARA A AREA ADMINISTRATIVA</t>
  </si>
  <si>
    <t>CÂMERAS OCR PARA BALANÇAS</t>
  </si>
  <si>
    <t>CÂMERAS PARA CFTV</t>
  </si>
  <si>
    <t>NOBREAK 2KVA</t>
  </si>
  <si>
    <t>IMPRESSORAS PARA A CABINE DE PESAGEM</t>
  </si>
  <si>
    <t>IMPRESSORA PARA ÁREA ADMINISTRATIVA</t>
  </si>
  <si>
    <t>SWITCH</t>
  </si>
  <si>
    <t xml:space="preserve">ANTENAS CPE 210, 45GHZ 9DBI OUTDOR </t>
  </si>
  <si>
    <t>ATERRO DE BRASÍLIA</t>
  </si>
  <si>
    <t xml:space="preserve">BASE DE REMUNERAÇÃO DOS INVESTIMENTOS </t>
  </si>
  <si>
    <t>Vida útil estimada</t>
  </si>
  <si>
    <t>Em anos</t>
  </si>
  <si>
    <t>nº</t>
  </si>
  <si>
    <t>Ao ano</t>
  </si>
  <si>
    <t>Investimentos em Infraestruturas do Aterro de Brasilia</t>
  </si>
  <si>
    <t>Acesso, cercamento e barreira vegetal</t>
  </si>
  <si>
    <t>Sistema viário interno e drenagem de águas pluviais</t>
  </si>
  <si>
    <t xml:space="preserve">Execução das edificações </t>
  </si>
  <si>
    <t>Linha de recalque para chorume</t>
  </si>
  <si>
    <t>Balanças rodoviárias</t>
  </si>
  <si>
    <t>Ligação de energia</t>
  </si>
  <si>
    <t>Ligação de água</t>
  </si>
  <si>
    <t>Construção de escola</t>
  </si>
  <si>
    <t>Custos Acessórios (Fiscalização das obras da etapa 1)</t>
  </si>
  <si>
    <t>Terrenos</t>
  </si>
  <si>
    <t>Base de Remuneração Bruta (1+2)</t>
  </si>
  <si>
    <t xml:space="preserve">Amortização Acumulada </t>
  </si>
  <si>
    <t>Total da Base de Remuneração Líquida (3 - 4)</t>
  </si>
  <si>
    <t>ATERRO DO JÓQUEI</t>
  </si>
  <si>
    <t>Investimentos em Infraestruturas do Aterro do Jóquei</t>
  </si>
  <si>
    <t xml:space="preserve">Infraestrutura civil para controle das balanças </t>
  </si>
  <si>
    <t xml:space="preserve">Base de Remuneração Bruta </t>
  </si>
  <si>
    <t>Custo de Capital Total</t>
  </si>
  <si>
    <t>Taxa Selic</t>
  </si>
  <si>
    <t>CÁLCULO DA REMUNERAÇÃO DOS INVESTIMENTOS - ATERRO DE BRASÍLIA</t>
  </si>
  <si>
    <t>Fórmula</t>
  </si>
  <si>
    <t>Valor</t>
  </si>
  <si>
    <t>A)</t>
  </si>
  <si>
    <t xml:space="preserve">RA = Rcapex + QRC </t>
  </si>
  <si>
    <t>Rcapex:</t>
  </si>
  <si>
    <t>Remuneração do Investimento Realizado (CAPEX)</t>
  </si>
  <si>
    <t>QRC:</t>
  </si>
  <si>
    <t>Quota de Reintegração do Capital</t>
  </si>
  <si>
    <t>RA:</t>
  </si>
  <si>
    <t>B)</t>
  </si>
  <si>
    <t>Rcapex = BRL x CCT</t>
  </si>
  <si>
    <t>BRL</t>
  </si>
  <si>
    <t>Custo de Capital - CCT</t>
  </si>
  <si>
    <t>B.1) BRL - Base de Remuneração Líquida</t>
  </si>
  <si>
    <t xml:space="preserve">BRL = (VBR - AA) </t>
  </si>
  <si>
    <t>VBR:</t>
  </si>
  <si>
    <t>Valor da Base de Remuneração</t>
  </si>
  <si>
    <t>AA:</t>
  </si>
  <si>
    <t>Amortização Acumulada</t>
  </si>
  <si>
    <t>Base de Remuneração Líquida</t>
  </si>
  <si>
    <t>Rcapex-bar:</t>
  </si>
  <si>
    <t xml:space="preserve">C) </t>
  </si>
  <si>
    <t>QRC = %AMOaa x BRL</t>
  </si>
  <si>
    <t>%AMOaa:</t>
  </si>
  <si>
    <t>Percentual médio de amortização ao ano</t>
  </si>
  <si>
    <t>QRC</t>
  </si>
  <si>
    <t>CÁLCULO DA REMUNERAÇÃO DOS INVESTIMENTOS - ATERRO DO JÓQUEI</t>
  </si>
  <si>
    <t>Distância das Unidades até a Disposição Final (em km)</t>
  </si>
  <si>
    <t>Aterro Sanitário de Brasilia</t>
  </si>
  <si>
    <t>Usina/Transbordo da Asa Sul</t>
  </si>
  <si>
    <t>Transbordo de Brazlândia</t>
  </si>
  <si>
    <t>Transbordo Gama</t>
  </si>
  <si>
    <t>Transbordo Sobradinho</t>
  </si>
  <si>
    <t>Média</t>
  </si>
  <si>
    <t>COMPOSIÇÃO DA TAXA DE BONIFICACÃO E DESPESAS INDIRETAS - DISPOSIÇÃO FINAL</t>
  </si>
  <si>
    <t>Grupo</t>
  </si>
  <si>
    <t>A</t>
  </si>
  <si>
    <t>Despesas indiretas</t>
  </si>
  <si>
    <t>A.1</t>
  </si>
  <si>
    <t xml:space="preserve">Administração central </t>
  </si>
  <si>
    <t>A.2</t>
  </si>
  <si>
    <t>Gestão e Fiscalização dos contratos</t>
  </si>
  <si>
    <t>A.3</t>
  </si>
  <si>
    <t>Seguros</t>
  </si>
  <si>
    <t>A.4</t>
  </si>
  <si>
    <t>Riscos</t>
  </si>
  <si>
    <t>A.5</t>
  </si>
  <si>
    <t>Custos Financeiros</t>
  </si>
  <si>
    <t>Total do grupo A</t>
  </si>
  <si>
    <t>B</t>
  </si>
  <si>
    <t>Bonificação</t>
  </si>
  <si>
    <t>B.1</t>
  </si>
  <si>
    <t>Lucro</t>
  </si>
  <si>
    <t>Total do grupo B</t>
  </si>
  <si>
    <t>Fórmula para o cálculo do B.D.I. (Bonificação e despesas indiretas)</t>
  </si>
  <si>
    <r>
      <t xml:space="preserve">BDI = BDI (%) = </t>
    </r>
    <r>
      <rPr>
        <u/>
        <sz val="12"/>
        <rFont val="Arial"/>
        <family val="2"/>
      </rPr>
      <t>(1+A) x (1+B)  - 1  x 100</t>
    </r>
  </si>
  <si>
    <t>COMPOSIÇÃO DA TAXA DE BONIFICACÃO E DESPESAS INDIRETAS - GERAL</t>
  </si>
  <si>
    <t>Fórmula para o cálculo do B.D.I. (Bonificação e despesas indiretas )</t>
  </si>
  <si>
    <t>TABELA DE PREÇOS PÚBLICOS</t>
  </si>
  <si>
    <t>Preço Unitário</t>
  </si>
  <si>
    <t>Coleta de resíduos sólidos orgânicos e indiferenciados.</t>
  </si>
  <si>
    <t>Disposição final de resíduos sólidos.</t>
  </si>
  <si>
    <t>Disposição final de resíduos da construção civil segregados.</t>
  </si>
  <si>
    <t>Disposição final de resíduos da construção civil não segregados</t>
  </si>
  <si>
    <t>Limpeza de vias e logradouros públicos realizada em dias úteis, cujo tempo de execução dos serviços seja de até 4 horas.</t>
  </si>
  <si>
    <t>Limpeza de vias e logradouros públicos realizada em dias úteis, cujo tempo de execução dos serviços seja superior a 4 e inferior a 7 horas.</t>
  </si>
  <si>
    <t>Limpeza de vias e logradouros públicos realizada em feriados, cujo tempo de execução dos serviços seja de até 4 horas.</t>
  </si>
  <si>
    <t>Limpeza de vias e logradouros públicos realizada em feriados, cujo tempo de execução dos serviços seja superior a 4 e inferior a 7 horas.</t>
  </si>
  <si>
    <t>Limpeza de vias e logradouros públicos realizada no período noturno (22 as 5h), cujo tempo de execução dos serviços seja de até 4 horas.</t>
  </si>
  <si>
    <t>Limpeza de vias e logradouros públicos realizada no período noturno (22 as 5h), cujo tempo de execução dos serviços seja superior a 4 e inferior a 7 horas.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</si>
</sst>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[$€]\ * #,##0.00_);_([$€]\ * \(#,##0.00\);_([$€]\ * &quot;-&quot;??_);_(@_)"/>
    <numFmt numFmtId="165" formatCode="[$-416]mmm\-yy;@"/>
    <numFmt numFmtId="166" formatCode="m\-d\-\y\y"/>
    <numFmt numFmtId="167" formatCode="0.0000"/>
    <numFmt numFmtId="168" formatCode="General_)"/>
    <numFmt numFmtId="169" formatCode="#\ ###\ ###\ ##0\ "/>
    <numFmt numFmtId="170" formatCode="_(* #,##0.00_);_(* \(#,##0.00\);_(* &quot;-&quot;??_);_(@_)"/>
    <numFmt numFmtId="171" formatCode="&quot;$&quot;#,##0\ ;\(&quot;$&quot;#,##0\)"/>
    <numFmt numFmtId="172" formatCode="&quot;$&quot;#,##0_);[Red]\(&quot;$&quot;#,##0\)"/>
    <numFmt numFmtId="173" formatCode="_-* #,##0.0_-;\-* #,##0.0_-;_-* &quot;-&quot;??_-;_-@_-"/>
    <numFmt numFmtId="174" formatCode="#,#00"/>
    <numFmt numFmtId="175" formatCode="0.0%;_(&quot;-&quot;_)"/>
    <numFmt numFmtId="176" formatCode="_(* #,##0_);_(* \(#,##0\);_(* &quot;-&quot;_);_(@_)"/>
    <numFmt numFmtId="177" formatCode="_(&quot;R$ &quot;* #,##0.00_);_(&quot;R$ &quot;* \(#,##0.00\);_(&quot;R$ &quot;* &quot;-&quot;??_);_(@_)"/>
    <numFmt numFmtId="178" formatCode="\$#,"/>
    <numFmt numFmtId="179" formatCode="_(&quot;$&quot;* #,##0_);_(&quot;$&quot;* \(#,##0\);_(&quot;$&quot;* &quot;-&quot;_);_(@_)"/>
    <numFmt numFmtId="180" formatCode="#,##0.0%;[Red]\(#,##0.0%\)"/>
    <numFmt numFmtId="181" formatCode="0.00%;\(0.00%\)"/>
    <numFmt numFmtId="182" formatCode="#,##0.00;\(#,##0.00\)"/>
    <numFmt numFmtId="183" formatCode="0_)"/>
    <numFmt numFmtId="184" formatCode="#,"/>
    <numFmt numFmtId="185" formatCode="#.##000"/>
    <numFmt numFmtId="186" formatCode="#.##0,"/>
    <numFmt numFmtId="187" formatCode="mmm\-yy"/>
    <numFmt numFmtId="188" formatCode="_-* #,##0_-;\-* #,##0_-;_-* &quot;-&quot;??_-;_-@_-"/>
    <numFmt numFmtId="189" formatCode="_([$€-2]* #,##0.00_);_([$€-2]* \(#,##0.00\);_([$€-2]* &quot;-&quot;??_)"/>
    <numFmt numFmtId="190" formatCode="#,##0.00_ ;[Red]\-#,##0.00\ "/>
    <numFmt numFmtId="191" formatCode="&quot;R$&quot;\ #,##0.00"/>
    <numFmt numFmtId="192" formatCode="#,##0.00;[Red]#,##0.00"/>
    <numFmt numFmtId="193" formatCode="_(* #,##0.00_);_(* \(#,##0.00\);_(* &quot;-&quot;_);_(@_)"/>
    <numFmt numFmtId="194" formatCode="0.000"/>
    <numFmt numFmtId="195" formatCode="_-&quot;R$&quot;\ * #,##0_-;\-&quot;R$&quot;\ * #,##0_-;_-&quot;R$&quot;\ * &quot;-&quot;??_-;_-@_-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Tms Rmn"/>
    </font>
    <font>
      <sz val="8"/>
      <name val="SwitzerlandLight"/>
    </font>
    <font>
      <sz val="7"/>
      <name val="SwitzerlandLight"/>
    </font>
    <font>
      <sz val="1"/>
      <color indexed="8"/>
      <name val="Courier"/>
      <family val="3"/>
    </font>
    <font>
      <b/>
      <sz val="10"/>
      <color indexed="18"/>
      <name val="Arial"/>
      <family val="2"/>
    </font>
    <font>
      <sz val="10"/>
      <name val="Helv"/>
    </font>
    <font>
      <sz val="10"/>
      <color indexed="24"/>
      <name val="Arial"/>
      <family val="2"/>
    </font>
    <font>
      <sz val="11"/>
      <name val="??"/>
      <family val="3"/>
      <charset val="129"/>
    </font>
    <font>
      <sz val="8"/>
      <name val="Arial"/>
      <family val="2"/>
    </font>
    <font>
      <sz val="8"/>
      <name val="Times New Roman"/>
      <family val="1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10"/>
      <name val="palatino"/>
    </font>
    <font>
      <sz val="10"/>
      <name val="Times New Roman"/>
      <family val="1"/>
    </font>
    <font>
      <sz val="12"/>
      <name val="Helv"/>
    </font>
    <font>
      <sz val="10"/>
      <name val="MS Sans Serif"/>
      <family val="2"/>
    </font>
    <font>
      <sz val="1"/>
      <color indexed="18"/>
      <name val="Courier"/>
      <family val="3"/>
    </font>
    <font>
      <sz val="10"/>
      <name val="Arial Narrow"/>
      <family val="2"/>
    </font>
    <font>
      <b/>
      <sz val="10"/>
      <color indexed="3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color indexed="32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sz val="1"/>
      <color indexed="18"/>
      <name val="Courier"/>
      <family val="3"/>
    </font>
    <font>
      <b/>
      <sz val="16"/>
      <color theme="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el"/>
    </font>
    <font>
      <u/>
      <sz val="12"/>
      <name val="Arial"/>
      <family val="2"/>
    </font>
    <font>
      <b/>
      <sz val="11"/>
      <color theme="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0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-0.249977111117893"/>
        <bgColor indexed="64"/>
      </patternFill>
    </fill>
  </fills>
  <borders count="143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double">
        <color indexed="22"/>
      </left>
      <right style="thin">
        <color indexed="22"/>
      </right>
      <top/>
      <bottom style="hair">
        <color indexed="22"/>
      </bottom>
      <diagonal/>
    </border>
    <border>
      <left style="thin">
        <color indexed="22"/>
      </left>
      <right style="thin">
        <color indexed="22"/>
      </right>
      <top/>
      <bottom style="hair">
        <color indexed="22"/>
      </bottom>
      <diagonal/>
    </border>
    <border>
      <left style="thin">
        <color indexed="22"/>
      </left>
      <right style="double">
        <color indexed="22"/>
      </right>
      <top/>
      <bottom style="hair">
        <color indexed="22"/>
      </bottom>
      <diagonal/>
    </border>
    <border>
      <left style="double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double">
        <color indexed="22"/>
      </right>
      <top style="hair">
        <color indexed="22"/>
      </top>
      <bottom style="hair">
        <color indexed="22"/>
      </bottom>
      <diagonal/>
    </border>
    <border>
      <left style="double">
        <color indexed="22"/>
      </left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double">
        <color indexed="22"/>
      </right>
      <top style="hair">
        <color indexed="22"/>
      </top>
      <bottom style="hair">
        <color indexed="22"/>
      </bottom>
      <diagonal/>
    </border>
    <border>
      <left style="double">
        <color indexed="22"/>
      </left>
      <right/>
      <top style="hair">
        <color indexed="22"/>
      </top>
      <bottom style="medium">
        <color indexed="22"/>
      </bottom>
      <diagonal/>
    </border>
    <border>
      <left/>
      <right/>
      <top style="hair">
        <color indexed="22"/>
      </top>
      <bottom style="medium">
        <color indexed="22"/>
      </bottom>
      <diagonal/>
    </border>
    <border>
      <left/>
      <right style="thin">
        <color indexed="22"/>
      </right>
      <top style="hair">
        <color indexed="22"/>
      </top>
      <bottom style="medium">
        <color indexed="22"/>
      </bottom>
      <diagonal/>
    </border>
    <border>
      <left style="thin">
        <color indexed="22"/>
      </left>
      <right/>
      <top style="hair">
        <color indexed="22"/>
      </top>
      <bottom style="medium">
        <color indexed="22"/>
      </bottom>
      <diagonal/>
    </border>
    <border>
      <left/>
      <right style="double">
        <color indexed="22"/>
      </right>
      <top style="hair">
        <color indexed="22"/>
      </top>
      <bottom style="medium">
        <color indexed="22"/>
      </bottom>
      <diagonal/>
    </border>
    <border>
      <left style="double">
        <color indexed="22"/>
      </left>
      <right/>
      <top/>
      <bottom/>
      <diagonal/>
    </border>
    <border>
      <left/>
      <right style="double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hair">
        <color indexed="22"/>
      </top>
      <bottom style="medium">
        <color indexed="22"/>
      </bottom>
      <diagonal/>
    </border>
    <border>
      <left style="thin">
        <color indexed="22"/>
      </left>
      <right style="double">
        <color indexed="22"/>
      </right>
      <top style="hair">
        <color indexed="22"/>
      </top>
      <bottom style="medium">
        <color indexed="22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theme="0" tint="-0.24994659260841701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double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double">
        <color indexed="22"/>
      </right>
      <top style="medium">
        <color indexed="22"/>
      </top>
      <bottom style="medium">
        <color indexed="22"/>
      </bottom>
      <diagonal/>
    </border>
    <border>
      <left style="double">
        <color indexed="22"/>
      </left>
      <right/>
      <top style="medium">
        <color indexed="22"/>
      </top>
      <bottom/>
      <diagonal/>
    </border>
    <border>
      <left/>
      <right style="double">
        <color indexed="22"/>
      </right>
      <top style="medium">
        <color indexed="22"/>
      </top>
      <bottom/>
      <diagonal/>
    </border>
    <border>
      <left style="double">
        <color indexed="22"/>
      </left>
      <right/>
      <top/>
      <bottom style="medium">
        <color indexed="22"/>
      </bottom>
      <diagonal/>
    </border>
    <border>
      <left/>
      <right style="double">
        <color indexed="22"/>
      </right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hair">
        <color indexed="22"/>
      </bottom>
      <diagonal/>
    </border>
    <border>
      <left style="thin">
        <color indexed="22"/>
      </left>
      <right style="double">
        <color indexed="22"/>
      </right>
      <top style="medium">
        <color indexed="22"/>
      </top>
      <bottom style="hair">
        <color indexed="22"/>
      </bottom>
      <diagonal/>
    </border>
    <border>
      <left style="thin">
        <color indexed="22"/>
      </left>
      <right/>
      <top style="medium">
        <color indexed="22"/>
      </top>
      <bottom style="hair">
        <color indexed="22"/>
      </bottom>
      <diagonal/>
    </border>
    <border>
      <left/>
      <right style="double">
        <color indexed="22"/>
      </right>
      <top style="medium">
        <color indexed="22"/>
      </top>
      <bottom style="hair">
        <color indexed="22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double">
        <color indexed="22"/>
      </right>
      <top style="thin">
        <color indexed="22"/>
      </top>
      <bottom style="medium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5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5" fontId="4" fillId="0" borderId="0">
      <alignment vertical="center"/>
    </xf>
    <xf numFmtId="0" fontId="5" fillId="0" borderId="0" applyNumberFormat="0" applyFill="0" applyBorder="0" applyAlignment="0" applyProtection="0"/>
    <xf numFmtId="3" fontId="6" fillId="3" borderId="0">
      <alignment horizontal="left"/>
    </xf>
    <xf numFmtId="3" fontId="7" fillId="4" borderId="0"/>
    <xf numFmtId="0" fontId="2" fillId="0" borderId="0">
      <alignment vertical="center"/>
    </xf>
    <xf numFmtId="166" fontId="8" fillId="5" borderId="1">
      <alignment horizontal="center" vertical="center"/>
    </xf>
    <xf numFmtId="0" fontId="2" fillId="0" borderId="0"/>
    <xf numFmtId="0" fontId="2" fillId="0" borderId="0"/>
    <xf numFmtId="0" fontId="2" fillId="0" borderId="0"/>
    <xf numFmtId="164" fontId="2" fillId="0" borderId="0"/>
    <xf numFmtId="10" fontId="2" fillId="6" borderId="0" applyFont="0" applyBorder="0" applyAlignment="0">
      <protection locked="0"/>
    </xf>
    <xf numFmtId="167" fontId="2" fillId="6" borderId="0" applyBorder="0" applyAlignment="0">
      <protection locked="0"/>
    </xf>
    <xf numFmtId="0" fontId="9" fillId="0" borderId="0" applyNumberFormat="0" applyFill="0" applyBorder="0" applyAlignment="0" applyProtection="0"/>
    <xf numFmtId="168" fontId="10" fillId="0" borderId="0">
      <alignment vertical="top"/>
    </xf>
    <xf numFmtId="169" fontId="11" fillId="0" borderId="2"/>
    <xf numFmtId="0" fontId="12" fillId="0" borderId="0">
      <protection locked="0"/>
    </xf>
    <xf numFmtId="0" fontId="12" fillId="0" borderId="0">
      <protection locked="0"/>
    </xf>
    <xf numFmtId="14" fontId="13" fillId="7" borderId="3" applyBorder="0" applyAlignment="0">
      <alignment horizontal="center" vertical="center"/>
    </xf>
    <xf numFmtId="0" fontId="13" fillId="8" borderId="3" applyNumberFormat="0" applyBorder="0" applyAlignment="0">
      <alignment horizontal="center" vertical="center"/>
    </xf>
    <xf numFmtId="0" fontId="14" fillId="0" borderId="4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3" fontId="15" fillId="0" borderId="0" applyFont="0" applyFill="0" applyBorder="0" applyAlignment="0" applyProtection="0"/>
    <xf numFmtId="170" fontId="2" fillId="9" borderId="0" applyNumberFormat="0" applyFont="0" applyBorder="0" applyAlignment="0" applyProtection="0"/>
    <xf numFmtId="0" fontId="14" fillId="0" borderId="4"/>
    <xf numFmtId="171" fontId="15" fillId="0" borderId="0" applyFont="0" applyFill="0" applyBorder="0" applyAlignment="0" applyProtection="0"/>
    <xf numFmtId="0" fontId="12" fillId="0" borderId="0">
      <protection locked="0"/>
    </xf>
    <xf numFmtId="172" fontId="16" fillId="0" borderId="0">
      <protection locked="0"/>
    </xf>
    <xf numFmtId="0" fontId="3" fillId="0" borderId="0">
      <alignment vertical="top"/>
    </xf>
    <xf numFmtId="164" fontId="17" fillId="0" borderId="0" applyFont="0" applyFill="0" applyBorder="0" applyAlignment="0" applyProtection="0"/>
    <xf numFmtId="37" fontId="18" fillId="0" borderId="0" applyBorder="0" applyAlignment="0"/>
    <xf numFmtId="173" fontId="2" fillId="0" borderId="0">
      <protection locked="0"/>
    </xf>
    <xf numFmtId="174" fontId="12" fillId="0" borderId="0">
      <protection locked="0"/>
    </xf>
    <xf numFmtId="0" fontId="19" fillId="6" borderId="0" applyNumberFormat="0" applyFont="0" applyBorder="0" applyAlignment="0" applyProtection="0">
      <alignment horizontal="centerContinuous"/>
    </xf>
    <xf numFmtId="0" fontId="19" fillId="10" borderId="0" applyNumberFormat="0" applyFont="0" applyBorder="0" applyAlignment="0" applyProtection="0">
      <alignment horizontal="centerContinuous"/>
    </xf>
    <xf numFmtId="0" fontId="20" fillId="4" borderId="5" applyNumberFormat="0" applyFont="0" applyBorder="0" applyAlignment="0"/>
    <xf numFmtId="0" fontId="2" fillId="6" borderId="6" applyNumberFormat="0" applyFont="0" applyBorder="0" applyAlignment="0" applyProtection="0"/>
    <xf numFmtId="10" fontId="2" fillId="6" borderId="0" applyNumberFormat="0" applyFont="0" applyBorder="0" applyAlignment="0"/>
    <xf numFmtId="38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Alignment="0" applyProtection="0">
      <alignment horizontal="left" vertical="center"/>
    </xf>
    <xf numFmtId="0" fontId="22" fillId="0" borderId="8">
      <alignment horizontal="left" vertical="center"/>
    </xf>
    <xf numFmtId="175" fontId="2" fillId="0" borderId="0">
      <protection locked="0"/>
    </xf>
    <xf numFmtId="175" fontId="2" fillId="0" borderId="0">
      <protection locked="0"/>
    </xf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10" fontId="17" fillId="6" borderId="10" applyNumberFormat="0" applyBorder="0" applyAlignment="0" applyProtection="0"/>
    <xf numFmtId="176" fontId="3" fillId="0" borderId="0" applyFont="0" applyFill="0" applyBorder="0" applyAlignment="0" applyProtection="0"/>
    <xf numFmtId="4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2" fillId="0" borderId="0">
      <protection locked="0"/>
    </xf>
    <xf numFmtId="179" fontId="3" fillId="0" borderId="0" applyFont="0" applyFill="0" applyBorder="0" applyAlignment="0" applyProtection="0"/>
    <xf numFmtId="177" fontId="2" fillId="0" borderId="0" applyFont="0" applyFill="0" applyBorder="0" applyAlignment="0" applyProtection="0"/>
    <xf numFmtId="3" fontId="25" fillId="3" borderId="11">
      <alignment horizontal="center"/>
    </xf>
    <xf numFmtId="37" fontId="26" fillId="0" borderId="0"/>
    <xf numFmtId="180" fontId="2" fillId="0" borderId="0"/>
    <xf numFmtId="181" fontId="27" fillId="0" borderId="0"/>
    <xf numFmtId="182" fontId="27" fillId="0" borderId="0"/>
    <xf numFmtId="0" fontId="2" fillId="0" borderId="0"/>
    <xf numFmtId="0" fontId="28" fillId="0" borderId="0"/>
    <xf numFmtId="0" fontId="2" fillId="0" borderId="0">
      <alignment vertical="top"/>
    </xf>
    <xf numFmtId="0" fontId="2" fillId="0" borderId="0"/>
    <xf numFmtId="165" fontId="2" fillId="0" borderId="0">
      <alignment vertical="top"/>
    </xf>
    <xf numFmtId="0" fontId="2" fillId="0" borderId="0"/>
    <xf numFmtId="0" fontId="2" fillId="0" borderId="0">
      <alignment vertical="center"/>
    </xf>
    <xf numFmtId="0" fontId="2" fillId="0" borderId="0"/>
    <xf numFmtId="183" fontId="29" fillId="0" borderId="0"/>
    <xf numFmtId="0" fontId="2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8" fillId="5" borderId="12" applyNumberFormat="0" applyFont="0" applyBorder="0" applyAlignment="0" applyProtection="0"/>
    <xf numFmtId="14" fontId="13" fillId="11" borderId="9" applyNumberFormat="0" applyFont="0" applyBorder="0" applyAlignment="0" applyProtection="0">
      <alignment horizontal="center" vertical="center"/>
    </xf>
    <xf numFmtId="38" fontId="30" fillId="0" borderId="0" applyFont="0" applyFill="0" applyBorder="0" applyAlignment="0" applyProtection="0"/>
    <xf numFmtId="184" fontId="31" fillId="0" borderId="0">
      <protection locked="0"/>
    </xf>
    <xf numFmtId="170" fontId="3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" fontId="33" fillId="12" borderId="0">
      <alignment horizontal="left"/>
    </xf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3" fontId="35" fillId="12" borderId="0">
      <alignment horizontal="center"/>
    </xf>
    <xf numFmtId="3" fontId="36" fillId="12" borderId="0">
      <alignment horizontal="left"/>
    </xf>
    <xf numFmtId="3" fontId="7" fillId="13" borderId="0">
      <alignment horizontal="right"/>
    </xf>
    <xf numFmtId="37" fontId="17" fillId="9" borderId="0" applyNumberFormat="0" applyBorder="0" applyAlignment="0" applyProtection="0"/>
    <xf numFmtId="37" fontId="17" fillId="0" borderId="0"/>
    <xf numFmtId="37" fontId="17" fillId="9" borderId="0" applyNumberFormat="0" applyBorder="0" applyAlignment="0" applyProtection="0"/>
    <xf numFmtId="3" fontId="37" fillId="0" borderId="9" applyProtection="0"/>
    <xf numFmtId="185" fontId="12" fillId="0" borderId="0">
      <protection locked="0"/>
    </xf>
    <xf numFmtId="186" fontId="12" fillId="0" borderId="0">
      <protection locked="0"/>
    </xf>
    <xf numFmtId="17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57" fillId="36" borderId="21" applyNumberFormat="0" applyAlignment="0" applyProtection="0"/>
    <xf numFmtId="0" fontId="57" fillId="36" borderId="21" applyNumberFormat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27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5" borderId="0" applyNumberFormat="0" applyBorder="0" applyAlignment="0" applyProtection="0"/>
    <xf numFmtId="0" fontId="58" fillId="19" borderId="0" applyNumberFormat="0" applyBorder="0" applyAlignment="0" applyProtection="0"/>
    <xf numFmtId="0" fontId="57" fillId="36" borderId="15" applyNumberFormat="0" applyAlignment="0" applyProtection="0"/>
    <xf numFmtId="0" fontId="57" fillId="36" borderId="15" applyNumberFormat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5" borderId="0" applyNumberFormat="0" applyBorder="0" applyAlignment="0" applyProtection="0"/>
    <xf numFmtId="0" fontId="4" fillId="0" borderId="0">
      <alignment vertical="center"/>
    </xf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4" fillId="36" borderId="17" applyNumberFormat="0" applyAlignment="0" applyProtection="0"/>
    <xf numFmtId="9" fontId="2" fillId="0" borderId="0" applyFont="0" applyFill="0" applyBorder="0" applyAlignment="0" applyProtection="0"/>
    <xf numFmtId="0" fontId="54" fillId="36" borderId="17" applyNumberFormat="0" applyAlignment="0" applyProtection="0"/>
    <xf numFmtId="164" fontId="4" fillId="0" borderId="0">
      <alignment vertical="center"/>
    </xf>
    <xf numFmtId="0" fontId="5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60" fillId="0" borderId="19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" fillId="0" borderId="0"/>
    <xf numFmtId="170" fontId="2" fillId="0" borderId="0" applyFont="0" applyFill="0" applyBorder="0" applyAlignment="0" applyProtection="0"/>
    <xf numFmtId="0" fontId="2" fillId="6" borderId="22" applyNumberFormat="0" applyFont="0" applyBorder="0" applyAlignment="0" applyProtection="0"/>
    <xf numFmtId="0" fontId="54" fillId="36" borderId="23" applyNumberFormat="0" applyAlignment="0" applyProtection="0"/>
    <xf numFmtId="9" fontId="2" fillId="0" borderId="0" applyFont="0" applyFill="0" applyBorder="0" applyAlignment="0" applyProtection="0"/>
    <xf numFmtId="0" fontId="54" fillId="36" borderId="23" applyNumberFormat="0" applyAlignment="0" applyProtection="0"/>
    <xf numFmtId="0" fontId="53" fillId="0" borderId="24" applyNumberFormat="0" applyFill="0" applyAlignment="0" applyProtection="0"/>
    <xf numFmtId="17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5" fillId="3" borderId="27">
      <alignment horizontal="center"/>
    </xf>
    <xf numFmtId="0" fontId="63" fillId="0" borderId="0">
      <protection locked="0"/>
    </xf>
    <xf numFmtId="0" fontId="63" fillId="0" borderId="0">
      <protection locked="0"/>
    </xf>
    <xf numFmtId="43" fontId="2" fillId="9" borderId="0" applyNumberFormat="0" applyFont="0" applyBorder="0" applyAlignment="0" applyProtection="0"/>
    <xf numFmtId="0" fontId="63" fillId="0" borderId="0">
      <protection locked="0"/>
    </xf>
    <xf numFmtId="174" fontId="63" fillId="0" borderId="0">
      <protection locked="0"/>
    </xf>
    <xf numFmtId="0" fontId="22" fillId="0" borderId="26">
      <alignment horizontal="left" vertical="center"/>
    </xf>
    <xf numFmtId="178" fontId="63" fillId="0" borderId="0">
      <protection locked="0"/>
    </xf>
    <xf numFmtId="3" fontId="25" fillId="3" borderId="25">
      <alignment horizont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4" fontId="64" fillId="0" borderId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85" fontId="63" fillId="0" borderId="0">
      <protection locked="0"/>
    </xf>
    <xf numFmtId="186" fontId="63" fillId="0" borderId="0">
      <protection locked="0"/>
    </xf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" fontId="25" fillId="3" borderId="3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6" borderId="32" applyNumberFormat="0" applyFont="0" applyBorder="0" applyAlignment="0" applyProtection="0"/>
    <xf numFmtId="0" fontId="22" fillId="0" borderId="31">
      <alignment horizontal="left" vertical="center"/>
    </xf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36" borderId="33" applyNumberFormat="0" applyAlignment="0" applyProtection="0"/>
    <xf numFmtId="0" fontId="57" fillId="36" borderId="33" applyNumberFormat="0" applyAlignment="0" applyProtection="0"/>
    <xf numFmtId="0" fontId="57" fillId="36" borderId="33" applyNumberFormat="0" applyAlignment="0" applyProtection="0"/>
    <xf numFmtId="0" fontId="57" fillId="36" borderId="33" applyNumberFormat="0" applyAlignment="0" applyProtection="0"/>
    <xf numFmtId="0" fontId="54" fillId="36" borderId="34" applyNumberFormat="0" applyAlignment="0" applyProtection="0"/>
    <xf numFmtId="0" fontId="54" fillId="36" borderId="34" applyNumberFormat="0" applyAlignment="0" applyProtection="0"/>
    <xf numFmtId="0" fontId="53" fillId="0" borderId="35" applyNumberFormat="0" applyFill="0" applyAlignment="0" applyProtection="0"/>
    <xf numFmtId="43" fontId="2" fillId="0" borderId="0" applyFont="0" applyFill="0" applyBorder="0" applyAlignment="0" applyProtection="0"/>
    <xf numFmtId="0" fontId="2" fillId="6" borderId="32" applyNumberFormat="0" applyFont="0" applyBorder="0" applyAlignment="0" applyProtection="0"/>
    <xf numFmtId="0" fontId="54" fillId="36" borderId="34" applyNumberFormat="0" applyAlignment="0" applyProtection="0"/>
    <xf numFmtId="0" fontId="54" fillId="36" borderId="34" applyNumberFormat="0" applyAlignment="0" applyProtection="0"/>
    <xf numFmtId="0" fontId="53" fillId="0" borderId="35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0" borderId="0"/>
    <xf numFmtId="43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" fillId="0" borderId="0"/>
    <xf numFmtId="0" fontId="2" fillId="0" borderId="0"/>
    <xf numFmtId="189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2" fillId="0" borderId="0">
      <protection locked="0"/>
    </xf>
    <xf numFmtId="0" fontId="12" fillId="0" borderId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9" borderId="0" applyNumberFormat="0" applyFont="0" applyBorder="0" applyAlignment="0" applyProtection="0"/>
    <xf numFmtId="44" fontId="1" fillId="0" borderId="0" applyFont="0" applyFill="0" applyBorder="0" applyAlignment="0" applyProtection="0"/>
    <xf numFmtId="0" fontId="12" fillId="0" borderId="0">
      <protection locked="0"/>
    </xf>
    <xf numFmtId="174" fontId="12" fillId="0" borderId="0">
      <protection locked="0"/>
    </xf>
    <xf numFmtId="0" fontId="22" fillId="0" borderId="31">
      <alignment horizontal="left" vertical="center"/>
    </xf>
    <xf numFmtId="178" fontId="12" fillId="0" borderId="0">
      <protection locked="0"/>
    </xf>
    <xf numFmtId="3" fontId="25" fillId="3" borderId="11">
      <alignment horizontal="center"/>
    </xf>
    <xf numFmtId="3" fontId="25" fillId="3" borderId="11">
      <alignment horizontal="center"/>
    </xf>
    <xf numFmtId="3" fontId="25" fillId="3" borderId="11">
      <alignment horizontal="center"/>
    </xf>
    <xf numFmtId="0" fontId="2" fillId="0" borderId="0"/>
    <xf numFmtId="184" fontId="31" fillId="0" borderId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12" fillId="0" borderId="0">
      <protection locked="0"/>
    </xf>
    <xf numFmtId="186" fontId="12" fillId="0" borderId="0"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 applyNumberFormat="0" applyFill="0" applyBorder="0" applyAlignment="0" applyProtection="0"/>
  </cellStyleXfs>
  <cellXfs count="385">
    <xf numFmtId="0" fontId="0" fillId="0" borderId="0" xfId="0"/>
    <xf numFmtId="0" fontId="2" fillId="0" borderId="0" xfId="4"/>
    <xf numFmtId="0" fontId="2" fillId="0" borderId="0" xfId="275"/>
    <xf numFmtId="0" fontId="2" fillId="0" borderId="0" xfId="275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2" borderId="0" xfId="0" applyFont="1" applyFill="1" applyAlignment="1">
      <alignment vertical="center"/>
    </xf>
    <xf numFmtId="0" fontId="40" fillId="2" borderId="0" xfId="4" applyFont="1" applyFill="1" applyAlignment="1">
      <alignment horizontal="left" vertical="center" indent="1"/>
    </xf>
    <xf numFmtId="0" fontId="47" fillId="0" borderId="0" xfId="0" applyFont="1"/>
    <xf numFmtId="0" fontId="47" fillId="2" borderId="0" xfId="0" applyFont="1" applyFill="1"/>
    <xf numFmtId="0" fontId="46" fillId="0" borderId="0" xfId="0" applyFont="1"/>
    <xf numFmtId="0" fontId="2" fillId="0" borderId="0" xfId="4" applyAlignment="1">
      <alignment vertical="center"/>
    </xf>
    <xf numFmtId="10" fontId="49" fillId="0" borderId="0" xfId="317" applyNumberFormat="1" applyFont="1"/>
    <xf numFmtId="0" fontId="48" fillId="2" borderId="0" xfId="278" applyFont="1" applyFill="1" applyAlignment="1">
      <alignment horizontal="centerContinuous"/>
    </xf>
    <xf numFmtId="0" fontId="17" fillId="0" borderId="0" xfId="275" applyFont="1"/>
    <xf numFmtId="0" fontId="2" fillId="0" borderId="0" xfId="316"/>
    <xf numFmtId="10" fontId="2" fillId="0" borderId="0" xfId="3" applyNumberFormat="1" applyFont="1" applyAlignment="1">
      <alignment vertical="center"/>
    </xf>
    <xf numFmtId="188" fontId="44" fillId="0" borderId="0" xfId="1" applyNumberFormat="1" applyFont="1" applyAlignment="1">
      <alignment vertical="center"/>
    </xf>
    <xf numFmtId="0" fontId="17" fillId="0" borderId="0" xfId="275" applyFont="1" applyAlignment="1">
      <alignment vertical="center"/>
    </xf>
    <xf numFmtId="0" fontId="42" fillId="2" borderId="0" xfId="0" applyFont="1" applyFill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2" fillId="2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1" fontId="47" fillId="0" borderId="0" xfId="0" applyNumberFormat="1" applyFont="1" applyAlignment="1">
      <alignment vertical="center"/>
    </xf>
    <xf numFmtId="188" fontId="44" fillId="0" borderId="0" xfId="0" applyNumberFormat="1" applyFont="1" applyAlignment="1">
      <alignment vertical="center"/>
    </xf>
    <xf numFmtId="10" fontId="44" fillId="0" borderId="0" xfId="0" applyNumberFormat="1" applyFont="1" applyAlignment="1">
      <alignment vertical="center"/>
    </xf>
    <xf numFmtId="0" fontId="47" fillId="0" borderId="0" xfId="0" applyFont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17" fillId="2" borderId="0" xfId="275" applyFont="1" applyFill="1" applyAlignment="1">
      <alignment vertical="center"/>
    </xf>
    <xf numFmtId="0" fontId="0" fillId="2" borderId="0" xfId="0" applyFill="1"/>
    <xf numFmtId="2" fontId="2" fillId="2" borderId="0" xfId="275" applyNumberFormat="1" applyFill="1"/>
    <xf numFmtId="10" fontId="44" fillId="0" borderId="0" xfId="3" applyNumberFormat="1" applyFont="1" applyAlignment="1">
      <alignment vertical="center"/>
    </xf>
    <xf numFmtId="188" fontId="47" fillId="0" borderId="0" xfId="0" applyNumberFormat="1" applyFont="1" applyAlignment="1">
      <alignment vertical="center"/>
    </xf>
    <xf numFmtId="165" fontId="2" fillId="0" borderId="0" xfId="279" applyAlignment="1">
      <alignment horizontal="left" vertical="center" wrapText="1"/>
    </xf>
    <xf numFmtId="43" fontId="44" fillId="0" borderId="0" xfId="1" applyFont="1" applyAlignment="1">
      <alignment vertical="center"/>
    </xf>
    <xf numFmtId="0" fontId="46" fillId="2" borderId="0" xfId="0" applyFont="1" applyFill="1"/>
    <xf numFmtId="0" fontId="67" fillId="0" borderId="0" xfId="275" applyFont="1" applyAlignment="1">
      <alignment vertical="center"/>
    </xf>
    <xf numFmtId="0" fontId="68" fillId="0" borderId="0" xfId="0" applyFont="1"/>
    <xf numFmtId="43" fontId="2" fillId="0" borderId="0" xfId="1" applyFont="1" applyAlignment="1">
      <alignment vertical="center"/>
    </xf>
    <xf numFmtId="0" fontId="2" fillId="0" borderId="0" xfId="4" applyAlignment="1">
      <alignment horizontal="left" vertical="center"/>
    </xf>
    <xf numFmtId="0" fontId="2" fillId="0" borderId="0" xfId="316" applyAlignment="1">
      <alignment vertical="center"/>
    </xf>
    <xf numFmtId="0" fontId="43" fillId="0" borderId="0" xfId="278" applyFont="1" applyAlignment="1">
      <alignment horizontal="center" vertical="center"/>
    </xf>
    <xf numFmtId="165" fontId="8" fillId="0" borderId="0" xfId="279" applyFont="1" applyAlignment="1">
      <alignment horizontal="center" vertical="center"/>
    </xf>
    <xf numFmtId="0" fontId="2" fillId="0" borderId="0" xfId="275" applyAlignment="1">
      <alignment horizontal="left" vertical="center"/>
    </xf>
    <xf numFmtId="0" fontId="8" fillId="0" borderId="0" xfId="4" applyFont="1" applyAlignment="1">
      <alignment vertical="center"/>
    </xf>
    <xf numFmtId="4" fontId="2" fillId="0" borderId="0" xfId="275" applyNumberFormat="1" applyAlignment="1">
      <alignment vertical="center"/>
    </xf>
    <xf numFmtId="0" fontId="2" fillId="0" borderId="0" xfId="4" applyAlignment="1">
      <alignment horizontal="left" vertical="center" indent="1"/>
    </xf>
    <xf numFmtId="176" fontId="2" fillId="0" borderId="0" xfId="315" applyNumberFormat="1"/>
    <xf numFmtId="0" fontId="8" fillId="0" borderId="0" xfId="0" applyFont="1" applyAlignment="1">
      <alignment vertical="center"/>
    </xf>
    <xf numFmtId="176" fontId="8" fillId="0" borderId="0" xfId="315" applyNumberFormat="1" applyFont="1"/>
    <xf numFmtId="17" fontId="44" fillId="0" borderId="0" xfId="0" applyNumberFormat="1" applyFont="1" applyAlignment="1">
      <alignment vertical="center"/>
    </xf>
    <xf numFmtId="14" fontId="47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69" fillId="0" borderId="0" xfId="275" applyFont="1"/>
    <xf numFmtId="165" fontId="74" fillId="15" borderId="0" xfId="279" applyFont="1" applyFill="1" applyAlignment="1">
      <alignment horizontal="center" vertical="center" wrapText="1"/>
    </xf>
    <xf numFmtId="165" fontId="74" fillId="15" borderId="0" xfId="279" applyFont="1" applyFill="1" applyAlignment="1">
      <alignment horizontal="center" vertical="center"/>
    </xf>
    <xf numFmtId="0" fontId="69" fillId="0" borderId="0" xfId="316" applyFont="1" applyAlignment="1">
      <alignment vertical="center"/>
    </xf>
    <xf numFmtId="0" fontId="69" fillId="0" borderId="0" xfId="316" applyFont="1"/>
    <xf numFmtId="0" fontId="69" fillId="0" borderId="0" xfId="275" applyFont="1" applyAlignment="1">
      <alignment horizontal="left" vertical="center"/>
    </xf>
    <xf numFmtId="0" fontId="69" fillId="0" borderId="30" xfId="316" applyFont="1" applyBorder="1" applyAlignment="1">
      <alignment vertical="center"/>
    </xf>
    <xf numFmtId="0" fontId="2" fillId="16" borderId="0" xfId="278" applyFill="1" applyAlignment="1">
      <alignment horizontal="left" vertical="center"/>
    </xf>
    <xf numFmtId="0" fontId="70" fillId="0" borderId="61" xfId="0" applyFont="1" applyBorder="1" applyAlignment="1">
      <alignment horizontal="justify" vertical="center"/>
    </xf>
    <xf numFmtId="0" fontId="0" fillId="0" borderId="63" xfId="0" applyBorder="1" applyAlignment="1">
      <alignment horizontal="center" vertical="center"/>
    </xf>
    <xf numFmtId="0" fontId="70" fillId="0" borderId="61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191" fontId="0" fillId="0" borderId="68" xfId="0" applyNumberFormat="1" applyBorder="1" applyAlignment="1">
      <alignment horizontal="center" vertical="center"/>
    </xf>
    <xf numFmtId="0" fontId="70" fillId="0" borderId="62" xfId="0" applyFont="1" applyBorder="1" applyAlignment="1">
      <alignment horizontal="center" vertical="center"/>
    </xf>
    <xf numFmtId="191" fontId="70" fillId="0" borderId="64" xfId="0" applyNumberFormat="1" applyFont="1" applyBorder="1" applyAlignment="1">
      <alignment horizontal="right" vertical="center"/>
    </xf>
    <xf numFmtId="191" fontId="77" fillId="0" borderId="59" xfId="0" applyNumberFormat="1" applyFont="1" applyBorder="1" applyAlignment="1">
      <alignment horizontal="right" vertical="center"/>
    </xf>
    <xf numFmtId="192" fontId="45" fillId="0" borderId="0" xfId="0" applyNumberFormat="1" applyFont="1"/>
    <xf numFmtId="0" fontId="0" fillId="0" borderId="0" xfId="0" applyAlignment="1">
      <alignment wrapText="1"/>
    </xf>
    <xf numFmtId="0" fontId="70" fillId="0" borderId="0" xfId="0" applyFont="1"/>
    <xf numFmtId="10" fontId="69" fillId="0" borderId="0" xfId="3" applyNumberFormat="1" applyFont="1" applyAlignment="1">
      <alignment vertical="center"/>
    </xf>
    <xf numFmtId="165" fontId="78" fillId="0" borderId="0" xfId="279" applyFont="1" applyAlignment="1">
      <alignment horizontal="left" vertical="center" wrapText="1"/>
    </xf>
    <xf numFmtId="193" fontId="2" fillId="0" borderId="0" xfId="315" applyNumberFormat="1"/>
    <xf numFmtId="0" fontId="22" fillId="0" borderId="76" xfId="0" applyFont="1" applyBorder="1" applyAlignment="1" applyProtection="1">
      <alignment vertical="center"/>
      <protection locked="0"/>
    </xf>
    <xf numFmtId="0" fontId="22" fillId="0" borderId="77" xfId="0" applyFont="1" applyBorder="1" applyAlignment="1" applyProtection="1">
      <alignment horizontal="center" vertical="center"/>
      <protection locked="0"/>
    </xf>
    <xf numFmtId="0" fontId="22" fillId="14" borderId="77" xfId="0" applyFont="1" applyFill="1" applyBorder="1" applyAlignment="1" applyProtection="1">
      <alignment vertical="center"/>
      <protection locked="0"/>
    </xf>
    <xf numFmtId="0" fontId="22" fillId="14" borderId="78" xfId="0" applyFont="1" applyFill="1" applyBorder="1" applyAlignment="1" applyProtection="1">
      <alignment vertical="center"/>
      <protection locked="0"/>
    </xf>
    <xf numFmtId="0" fontId="34" fillId="14" borderId="79" xfId="0" applyFont="1" applyFill="1" applyBorder="1" applyAlignment="1" applyProtection="1">
      <alignment vertical="center"/>
      <protection locked="0"/>
    </xf>
    <xf numFmtId="0" fontId="22" fillId="0" borderId="80" xfId="0" applyFont="1" applyBorder="1" applyAlignment="1" applyProtection="1">
      <alignment horizontal="center" vertical="center"/>
      <protection locked="0"/>
    </xf>
    <xf numFmtId="0" fontId="34" fillId="14" borderId="80" xfId="0" applyFont="1" applyFill="1" applyBorder="1" applyAlignment="1" applyProtection="1">
      <alignment vertical="center"/>
      <protection locked="0"/>
    </xf>
    <xf numFmtId="10" fontId="34" fillId="14" borderId="81" xfId="3" applyNumberFormat="1" applyFont="1" applyFill="1" applyBorder="1" applyAlignment="1" applyProtection="1">
      <alignment vertical="center"/>
      <protection locked="0"/>
    </xf>
    <xf numFmtId="0" fontId="34" fillId="0" borderId="28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29" xfId="0" applyFont="1" applyBorder="1" applyAlignment="1" applyProtection="1">
      <alignment vertical="center"/>
      <protection locked="0"/>
    </xf>
    <xf numFmtId="0" fontId="34" fillId="0" borderId="79" xfId="0" applyFont="1" applyBorder="1" applyAlignment="1" applyProtection="1">
      <alignment vertical="center"/>
      <protection locked="0"/>
    </xf>
    <xf numFmtId="0" fontId="22" fillId="14" borderId="80" xfId="0" applyFont="1" applyFill="1" applyBorder="1" applyAlignment="1" applyProtection="1">
      <alignment horizontal="center" vertical="center"/>
      <protection locked="0"/>
    </xf>
    <xf numFmtId="0" fontId="34" fillId="14" borderId="28" xfId="0" applyFont="1" applyFill="1" applyBorder="1" applyAlignment="1" applyProtection="1">
      <alignment vertical="center"/>
      <protection locked="0"/>
    </xf>
    <xf numFmtId="0" fontId="22" fillId="14" borderId="0" xfId="0" applyFont="1" applyFill="1" applyAlignment="1" applyProtection="1">
      <alignment horizontal="center" vertical="center"/>
      <protection locked="0"/>
    </xf>
    <xf numFmtId="0" fontId="34" fillId="14" borderId="0" xfId="0" applyFont="1" applyFill="1" applyAlignment="1" applyProtection="1">
      <alignment vertical="center"/>
      <protection locked="0"/>
    </xf>
    <xf numFmtId="0" fontId="34" fillId="14" borderId="29" xfId="0" applyFont="1" applyFill="1" applyBorder="1" applyAlignment="1" applyProtection="1">
      <alignment vertical="center"/>
      <protection locked="0"/>
    </xf>
    <xf numFmtId="10" fontId="2" fillId="0" borderId="0" xfId="3" applyNumberFormat="1" applyFont="1"/>
    <xf numFmtId="2" fontId="2" fillId="0" borderId="0" xfId="315" applyNumberFormat="1"/>
    <xf numFmtId="176" fontId="2" fillId="0" borderId="0" xfId="315" applyNumberFormat="1" applyAlignment="1">
      <alignment horizontal="center"/>
    </xf>
    <xf numFmtId="44" fontId="40" fillId="2" borderId="13" xfId="279" applyNumberFormat="1" applyFont="1" applyFill="1" applyBorder="1" applyAlignment="1">
      <alignment horizontal="right" vertical="center"/>
    </xf>
    <xf numFmtId="165" fontId="40" fillId="2" borderId="14" xfId="279" applyFont="1" applyFill="1" applyBorder="1" applyAlignment="1">
      <alignment horizontal="left" vertical="center" wrapText="1"/>
    </xf>
    <xf numFmtId="0" fontId="81" fillId="14" borderId="0" xfId="0" applyFont="1" applyFill="1" applyAlignment="1">
      <alignment horizontal="center" vertical="center" wrapText="1" readingOrder="1"/>
    </xf>
    <xf numFmtId="0" fontId="82" fillId="14" borderId="0" xfId="0" applyFont="1" applyFill="1" applyAlignment="1">
      <alignment horizontal="right" vertical="center" wrapText="1" readingOrder="1"/>
    </xf>
    <xf numFmtId="0" fontId="82" fillId="14" borderId="0" xfId="0" applyFont="1" applyFill="1" applyAlignment="1">
      <alignment horizontal="left" vertical="center" wrapText="1" readingOrder="1"/>
    </xf>
    <xf numFmtId="0" fontId="34" fillId="0" borderId="74" xfId="316" applyFont="1" applyBorder="1" applyAlignment="1">
      <alignment vertical="center"/>
    </xf>
    <xf numFmtId="2" fontId="34" fillId="0" borderId="75" xfId="316" applyNumberFormat="1" applyFont="1" applyBorder="1" applyAlignment="1">
      <alignment vertical="center"/>
    </xf>
    <xf numFmtId="0" fontId="34" fillId="0" borderId="75" xfId="316" applyFont="1" applyBorder="1" applyAlignment="1">
      <alignment horizontal="center" vertical="center"/>
    </xf>
    <xf numFmtId="0" fontId="34" fillId="0" borderId="28" xfId="316" applyFont="1" applyBorder="1" applyAlignment="1">
      <alignment vertical="center"/>
    </xf>
    <xf numFmtId="0" fontId="34" fillId="0" borderId="29" xfId="316" applyFont="1" applyBorder="1" applyAlignment="1">
      <alignment vertical="center"/>
    </xf>
    <xf numFmtId="0" fontId="34" fillId="0" borderId="29" xfId="316" applyFont="1" applyBorder="1" applyAlignment="1">
      <alignment horizontal="center" vertical="center"/>
    </xf>
    <xf numFmtId="43" fontId="82" fillId="14" borderId="0" xfId="1" applyFont="1" applyFill="1" applyAlignment="1">
      <alignment horizontal="right" vertical="center" wrapText="1" readingOrder="1"/>
    </xf>
    <xf numFmtId="43" fontId="73" fillId="0" borderId="0" xfId="1" applyFont="1" applyAlignment="1">
      <alignment horizontal="right"/>
    </xf>
    <xf numFmtId="4" fontId="82" fillId="0" borderId="0" xfId="0" applyNumberFormat="1" applyFont="1" applyAlignment="1">
      <alignment horizontal="right"/>
    </xf>
    <xf numFmtId="43" fontId="73" fillId="0" borderId="0" xfId="1" applyFont="1"/>
    <xf numFmtId="3" fontId="2" fillId="0" borderId="0" xfId="315" applyNumberFormat="1"/>
    <xf numFmtId="44" fontId="8" fillId="0" borderId="0" xfId="2" applyFont="1"/>
    <xf numFmtId="2" fontId="0" fillId="0" borderId="0" xfId="0" applyNumberFormat="1"/>
    <xf numFmtId="0" fontId="8" fillId="0" borderId="0" xfId="4" applyFont="1" applyAlignment="1">
      <alignment horizontal="left" vertical="center" indent="1"/>
    </xf>
    <xf numFmtId="10" fontId="8" fillId="0" borderId="0" xfId="3" applyNumberFormat="1" applyFont="1"/>
    <xf numFmtId="0" fontId="74" fillId="15" borderId="0" xfId="275" applyFont="1" applyFill="1" applyAlignment="1">
      <alignment horizontal="center" vertical="center"/>
    </xf>
    <xf numFmtId="191" fontId="0" fillId="0" borderId="0" xfId="0" applyNumberFormat="1"/>
    <xf numFmtId="0" fontId="0" fillId="0" borderId="67" xfId="0" applyBorder="1" applyAlignment="1">
      <alignment horizontal="center"/>
    </xf>
    <xf numFmtId="0" fontId="0" fillId="0" borderId="82" xfId="0" applyBorder="1" applyAlignment="1">
      <alignment horizontal="center"/>
    </xf>
    <xf numFmtId="43" fontId="0" fillId="0" borderId="0" xfId="0" applyNumberFormat="1"/>
    <xf numFmtId="43" fontId="0" fillId="0" borderId="0" xfId="1" applyFont="1"/>
    <xf numFmtId="0" fontId="70" fillId="14" borderId="0" xfId="0" applyFont="1" applyFill="1" applyAlignment="1">
      <alignment horizontal="right"/>
    </xf>
    <xf numFmtId="0" fontId="70" fillId="14" borderId="0" xfId="0" applyFont="1" applyFill="1"/>
    <xf numFmtId="43" fontId="0" fillId="14" borderId="0" xfId="1" applyFont="1" applyFill="1" applyAlignment="1">
      <alignment horizontal="right"/>
    </xf>
    <xf numFmtId="0" fontId="0" fillId="14" borderId="0" xfId="0" applyFill="1" applyAlignment="1">
      <alignment horizontal="right"/>
    </xf>
    <xf numFmtId="0" fontId="0" fillId="14" borderId="0" xfId="0" applyFill="1"/>
    <xf numFmtId="4" fontId="0" fillId="14" borderId="0" xfId="0" applyNumberFormat="1" applyFill="1"/>
    <xf numFmtId="165" fontId="85" fillId="15" borderId="0" xfId="279" applyFont="1" applyFill="1" applyAlignment="1">
      <alignment horizontal="center" vertical="center" wrapText="1"/>
    </xf>
    <xf numFmtId="165" fontId="85" fillId="15" borderId="0" xfId="279" applyFont="1" applyFill="1" applyAlignment="1">
      <alignment horizontal="center" vertical="center"/>
    </xf>
    <xf numFmtId="43" fontId="70" fillId="0" borderId="0" xfId="1" applyFont="1" applyAlignment="1">
      <alignment horizontal="right"/>
    </xf>
    <xf numFmtId="17" fontId="86" fillId="14" borderId="0" xfId="279" applyNumberFormat="1" applyFont="1" applyFill="1" applyAlignment="1">
      <alignment horizontal="left" vertical="center" wrapText="1"/>
    </xf>
    <xf numFmtId="43" fontId="86" fillId="14" borderId="0" xfId="1" applyFont="1" applyFill="1" applyAlignment="1">
      <alignment horizontal="left" vertical="center" wrapText="1"/>
    </xf>
    <xf numFmtId="43" fontId="86" fillId="14" borderId="0" xfId="1" applyFont="1" applyFill="1"/>
    <xf numFmtId="43" fontId="86" fillId="14" borderId="0" xfId="1" applyFont="1" applyFill="1" applyAlignment="1">
      <alignment horizontal="right"/>
    </xf>
    <xf numFmtId="43" fontId="0" fillId="14" borderId="0" xfId="1" applyFont="1" applyFill="1"/>
    <xf numFmtId="165" fontId="86" fillId="14" borderId="0" xfId="279" applyFont="1" applyFill="1" applyAlignment="1">
      <alignment vertical="center" wrapText="1"/>
    </xf>
    <xf numFmtId="43" fontId="86" fillId="14" borderId="0" xfId="1" applyFont="1" applyFill="1" applyAlignment="1">
      <alignment vertical="center" wrapText="1"/>
    </xf>
    <xf numFmtId="165" fontId="86" fillId="14" borderId="0" xfId="279" applyFont="1" applyFill="1" applyAlignment="1">
      <alignment horizontal="left" vertical="center" wrapText="1"/>
    </xf>
    <xf numFmtId="3" fontId="86" fillId="14" borderId="0" xfId="279" applyNumberFormat="1" applyFont="1" applyFill="1" applyAlignment="1">
      <alignment horizontal="center" vertical="center" wrapText="1"/>
    </xf>
    <xf numFmtId="43" fontId="86" fillId="14" borderId="0" xfId="1" applyFont="1" applyFill="1" applyAlignment="1">
      <alignment horizontal="center" vertical="center" wrapText="1"/>
    </xf>
    <xf numFmtId="43" fontId="86" fillId="14" borderId="0" xfId="1" applyFont="1" applyFill="1" applyAlignment="1">
      <alignment horizontal="right" vertical="center" wrapText="1"/>
    </xf>
    <xf numFmtId="165" fontId="86" fillId="17" borderId="0" xfId="279" applyFont="1" applyFill="1" applyAlignment="1">
      <alignment horizontal="left" vertical="center" wrapText="1"/>
    </xf>
    <xf numFmtId="3" fontId="86" fillId="17" borderId="0" xfId="279" applyNumberFormat="1" applyFont="1" applyFill="1" applyAlignment="1">
      <alignment horizontal="right" vertical="center" wrapText="1"/>
    </xf>
    <xf numFmtId="192" fontId="0" fillId="17" borderId="0" xfId="0" applyNumberFormat="1" applyFill="1"/>
    <xf numFmtId="165" fontId="85" fillId="14" borderId="0" xfId="279" applyFont="1" applyFill="1" applyAlignment="1">
      <alignment horizontal="left" vertical="center" wrapText="1"/>
    </xf>
    <xf numFmtId="3" fontId="86" fillId="14" borderId="0" xfId="279" applyNumberFormat="1" applyFont="1" applyFill="1" applyAlignment="1">
      <alignment horizontal="right" vertical="center" wrapText="1"/>
    </xf>
    <xf numFmtId="192" fontId="70" fillId="14" borderId="0" xfId="0" applyNumberFormat="1" applyFont="1" applyFill="1"/>
    <xf numFmtId="165" fontId="86" fillId="14" borderId="0" xfId="279" applyFont="1" applyFill="1" applyAlignment="1">
      <alignment horizontal="center" vertical="center" wrapText="1"/>
    </xf>
    <xf numFmtId="4" fontId="86" fillId="14" borderId="0" xfId="279" applyNumberFormat="1" applyFont="1" applyFill="1" applyAlignment="1">
      <alignment horizontal="center" vertical="center" wrapText="1"/>
    </xf>
    <xf numFmtId="192" fontId="0" fillId="14" borderId="0" xfId="0" applyNumberFormat="1" applyFill="1"/>
    <xf numFmtId="165" fontId="85" fillId="0" borderId="0" xfId="279" applyFont="1" applyAlignment="1">
      <alignment horizontal="left" vertical="center" wrapText="1"/>
    </xf>
    <xf numFmtId="165" fontId="86" fillId="0" borderId="0" xfId="279" applyFont="1" applyAlignment="1">
      <alignment horizontal="center" vertical="center" wrapText="1"/>
    </xf>
    <xf numFmtId="165" fontId="86" fillId="0" borderId="0" xfId="279" applyFont="1" applyAlignment="1">
      <alignment horizontal="left" vertical="center" wrapText="1"/>
    </xf>
    <xf numFmtId="3" fontId="86" fillId="0" borderId="0" xfId="279" applyNumberFormat="1" applyFont="1" applyAlignment="1">
      <alignment horizontal="right" vertical="center" wrapText="1"/>
    </xf>
    <xf numFmtId="192" fontId="0" fillId="0" borderId="0" xfId="0" applyNumberFormat="1"/>
    <xf numFmtId="44" fontId="84" fillId="2" borderId="0" xfId="2" applyFont="1" applyFill="1"/>
    <xf numFmtId="44" fontId="0" fillId="0" borderId="0" xfId="2" applyFont="1"/>
    <xf numFmtId="0" fontId="0" fillId="0" borderId="0" xfId="0" applyAlignment="1">
      <alignment horizontal="right"/>
    </xf>
    <xf numFmtId="0" fontId="83" fillId="0" borderId="0" xfId="0" applyFont="1" applyAlignment="1">
      <alignment wrapText="1"/>
    </xf>
    <xf numFmtId="0" fontId="83" fillId="0" borderId="0" xfId="0" applyFont="1" applyAlignment="1">
      <alignment horizontal="right"/>
    </xf>
    <xf numFmtId="194" fontId="83" fillId="0" borderId="0" xfId="0" applyNumberFormat="1" applyFont="1" applyAlignment="1">
      <alignment horizontal="right"/>
    </xf>
    <xf numFmtId="194" fontId="0" fillId="0" borderId="0" xfId="0" applyNumberFormat="1" applyAlignment="1">
      <alignment horizontal="right"/>
    </xf>
    <xf numFmtId="194" fontId="0" fillId="0" borderId="0" xfId="0" applyNumberFormat="1"/>
    <xf numFmtId="0" fontId="0" fillId="0" borderId="0" xfId="0" quotePrefix="1"/>
    <xf numFmtId="0" fontId="0" fillId="0" borderId="0" xfId="0" applyAlignment="1">
      <alignment horizontal="center"/>
    </xf>
    <xf numFmtId="0" fontId="0" fillId="0" borderId="84" xfId="0" applyBorder="1"/>
    <xf numFmtId="0" fontId="77" fillId="0" borderId="84" xfId="0" applyFont="1" applyBorder="1" applyAlignment="1">
      <alignment horizontal="center" vertical="center"/>
    </xf>
    <xf numFmtId="0" fontId="77" fillId="0" borderId="84" xfId="0" applyFont="1" applyBorder="1" applyAlignment="1">
      <alignment horizontal="center" vertical="center" wrapText="1"/>
    </xf>
    <xf numFmtId="0" fontId="70" fillId="0" borderId="84" xfId="0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83" fillId="0" borderId="58" xfId="0" applyFont="1" applyBorder="1" applyAlignment="1">
      <alignment wrapText="1"/>
    </xf>
    <xf numFmtId="0" fontId="83" fillId="0" borderId="58" xfId="0" applyFont="1" applyBorder="1" applyAlignment="1">
      <alignment horizontal="right"/>
    </xf>
    <xf numFmtId="44" fontId="0" fillId="0" borderId="58" xfId="2" applyFont="1" applyBorder="1"/>
    <xf numFmtId="0" fontId="87" fillId="0" borderId="0" xfId="0" applyFont="1" applyAlignment="1">
      <alignment vertical="center"/>
    </xf>
    <xf numFmtId="0" fontId="81" fillId="14" borderId="0" xfId="0" applyFont="1" applyFill="1" applyAlignment="1">
      <alignment horizontal="right" vertical="center" wrapText="1" readingOrder="1"/>
    </xf>
    <xf numFmtId="43" fontId="8" fillId="0" borderId="0" xfId="1" applyFont="1"/>
    <xf numFmtId="43" fontId="2" fillId="0" borderId="0" xfId="1" applyFont="1"/>
    <xf numFmtId="43" fontId="2" fillId="0" borderId="0" xfId="1" applyFont="1" applyAlignment="1">
      <alignment horizontal="center"/>
    </xf>
    <xf numFmtId="191" fontId="84" fillId="2" borderId="72" xfId="0" applyNumberFormat="1" applyFont="1" applyFill="1" applyBorder="1" applyAlignment="1">
      <alignment horizontal="center" vertical="center"/>
    </xf>
    <xf numFmtId="0" fontId="45" fillId="0" borderId="0" xfId="0" applyFont="1"/>
    <xf numFmtId="0" fontId="73" fillId="0" borderId="0" xfId="0" applyFont="1"/>
    <xf numFmtId="0" fontId="73" fillId="0" borderId="0" xfId="0" applyFont="1" applyAlignment="1">
      <alignment horizontal="center"/>
    </xf>
    <xf numFmtId="44" fontId="73" fillId="0" borderId="0" xfId="2" applyFont="1" applyAlignment="1">
      <alignment horizontal="right"/>
    </xf>
    <xf numFmtId="0" fontId="73" fillId="0" borderId="0" xfId="0" applyFont="1" applyAlignment="1">
      <alignment wrapText="1"/>
    </xf>
    <xf numFmtId="0" fontId="73" fillId="0" borderId="58" xfId="0" applyFont="1" applyBorder="1" applyAlignment="1">
      <alignment wrapText="1"/>
    </xf>
    <xf numFmtId="0" fontId="73" fillId="0" borderId="58" xfId="0" applyFont="1" applyBorder="1" applyAlignment="1">
      <alignment horizontal="center"/>
    </xf>
    <xf numFmtId="43" fontId="2" fillId="0" borderId="0" xfId="275" applyNumberFormat="1"/>
    <xf numFmtId="44" fontId="73" fillId="0" borderId="0" xfId="2" applyFont="1"/>
    <xf numFmtId="44" fontId="73" fillId="0" borderId="58" xfId="2" applyFont="1" applyBorder="1"/>
    <xf numFmtId="195" fontId="44" fillId="0" borderId="0" xfId="2" applyNumberFormat="1" applyFont="1" applyAlignment="1">
      <alignment vertical="center"/>
    </xf>
    <xf numFmtId="195" fontId="47" fillId="0" borderId="0" xfId="2" applyNumberFormat="1" applyFont="1" applyAlignment="1">
      <alignment vertical="center"/>
    </xf>
    <xf numFmtId="0" fontId="72" fillId="37" borderId="0" xfId="540" applyFill="1"/>
    <xf numFmtId="0" fontId="90" fillId="37" borderId="0" xfId="540" applyFont="1" applyFill="1"/>
    <xf numFmtId="0" fontId="40" fillId="2" borderId="0" xfId="4" applyFont="1" applyFill="1" applyAlignment="1">
      <alignment vertical="center"/>
    </xf>
    <xf numFmtId="4" fontId="70" fillId="14" borderId="0" xfId="0" applyNumberFormat="1" applyFont="1" applyFill="1" applyAlignment="1">
      <alignment horizontal="right"/>
    </xf>
    <xf numFmtId="4" fontId="85" fillId="0" borderId="0" xfId="279" applyNumberFormat="1" applyFont="1" applyAlignment="1">
      <alignment horizontal="center" vertical="center" wrapText="1"/>
    </xf>
    <xf numFmtId="0" fontId="0" fillId="0" borderId="83" xfId="0" applyBorder="1" applyAlignment="1">
      <alignment horizontal="center"/>
    </xf>
    <xf numFmtId="0" fontId="77" fillId="0" borderId="73" xfId="0" applyFont="1" applyBorder="1" applyAlignment="1">
      <alignment horizontal="center" wrapText="1"/>
    </xf>
    <xf numFmtId="0" fontId="83" fillId="0" borderId="0" xfId="0" applyFont="1"/>
    <xf numFmtId="4" fontId="83" fillId="0" borderId="0" xfId="0" applyNumberFormat="1" applyFont="1"/>
    <xf numFmtId="0" fontId="17" fillId="14" borderId="0" xfId="275" applyFont="1" applyFill="1" applyAlignment="1">
      <alignment vertical="center"/>
    </xf>
    <xf numFmtId="0" fontId="91" fillId="39" borderId="0" xfId="0" applyFont="1" applyFill="1" applyAlignment="1">
      <alignment horizontal="center" vertical="center"/>
    </xf>
    <xf numFmtId="0" fontId="91" fillId="39" borderId="0" xfId="0" applyFont="1" applyFill="1" applyAlignment="1">
      <alignment horizontal="center" vertical="center" wrapText="1"/>
    </xf>
    <xf numFmtId="0" fontId="0" fillId="39" borderId="0" xfId="0" applyFill="1"/>
    <xf numFmtId="0" fontId="72" fillId="38" borderId="0" xfId="540" applyFill="1"/>
    <xf numFmtId="40" fontId="66" fillId="17" borderId="94" xfId="278" applyNumberFormat="1" applyFont="1" applyFill="1" applyBorder="1" applyAlignment="1">
      <alignment horizontal="center"/>
    </xf>
    <xf numFmtId="0" fontId="70" fillId="0" borderId="106" xfId="0" applyFont="1" applyBorder="1" applyAlignment="1">
      <alignment horizontal="center" vertical="center"/>
    </xf>
    <xf numFmtId="0" fontId="70" fillId="0" borderId="106" xfId="0" applyFont="1" applyBorder="1" applyAlignment="1">
      <alignment horizontal="justify" vertical="center"/>
    </xf>
    <xf numFmtId="0" fontId="0" fillId="0" borderId="108" xfId="0" applyBorder="1" applyAlignment="1">
      <alignment horizontal="center" vertical="center"/>
    </xf>
    <xf numFmtId="0" fontId="70" fillId="0" borderId="107" xfId="0" applyFon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191" fontId="0" fillId="0" borderId="111" xfId="0" applyNumberFormat="1" applyBorder="1" applyAlignment="1">
      <alignment horizontal="center" vertical="center"/>
    </xf>
    <xf numFmtId="0" fontId="0" fillId="0" borderId="112" xfId="0" applyBorder="1"/>
    <xf numFmtId="191" fontId="0" fillId="0" borderId="112" xfId="0" applyNumberFormat="1" applyBorder="1"/>
    <xf numFmtId="9" fontId="0" fillId="0" borderId="113" xfId="3" applyFont="1" applyBorder="1"/>
    <xf numFmtId="191" fontId="70" fillId="0" borderId="117" xfId="0" applyNumberFormat="1" applyFont="1" applyBorder="1"/>
    <xf numFmtId="0" fontId="0" fillId="0" borderId="117" xfId="0" applyBorder="1"/>
    <xf numFmtId="0" fontId="0" fillId="0" borderId="118" xfId="0" applyBorder="1"/>
    <xf numFmtId="0" fontId="0" fillId="0" borderId="119" xfId="0" applyBorder="1"/>
    <xf numFmtId="1" fontId="0" fillId="0" borderId="112" xfId="0" applyNumberFormat="1" applyBorder="1"/>
    <xf numFmtId="191" fontId="0" fillId="0" borderId="113" xfId="0" applyNumberFormat="1" applyBorder="1"/>
    <xf numFmtId="191" fontId="70" fillId="0" borderId="118" xfId="0" applyNumberFormat="1" applyFont="1" applyBorder="1"/>
    <xf numFmtId="0" fontId="22" fillId="0" borderId="121" xfId="316" applyFont="1" applyBorder="1" applyAlignment="1">
      <alignment vertical="center"/>
    </xf>
    <xf numFmtId="0" fontId="44" fillId="0" borderId="121" xfId="0" applyFont="1" applyBorder="1" applyAlignment="1">
      <alignment horizontal="center" vertical="center"/>
    </xf>
    <xf numFmtId="0" fontId="44" fillId="0" borderId="121" xfId="0" applyFont="1" applyBorder="1" applyAlignment="1">
      <alignment vertical="center"/>
    </xf>
    <xf numFmtId="0" fontId="47" fillId="15" borderId="115" xfId="0" applyFont="1" applyFill="1" applyBorder="1" applyAlignment="1">
      <alignment vertical="center"/>
    </xf>
    <xf numFmtId="195" fontId="47" fillId="15" borderId="115" xfId="2" applyNumberFormat="1" applyFont="1" applyFill="1" applyBorder="1" applyAlignment="1">
      <alignment vertical="center"/>
    </xf>
    <xf numFmtId="188" fontId="47" fillId="15" borderId="115" xfId="0" applyNumberFormat="1" applyFont="1" applyFill="1" applyBorder="1" applyAlignment="1">
      <alignment vertical="center"/>
    </xf>
    <xf numFmtId="0" fontId="44" fillId="15" borderId="115" xfId="0" applyFont="1" applyFill="1" applyBorder="1" applyAlignment="1">
      <alignment vertical="center"/>
    </xf>
    <xf numFmtId="0" fontId="47" fillId="15" borderId="115" xfId="0" applyFont="1" applyFill="1" applyBorder="1" applyAlignment="1">
      <alignment horizontal="left" vertical="center"/>
    </xf>
    <xf numFmtId="0" fontId="34" fillId="0" borderId="122" xfId="0" applyFont="1" applyBorder="1" applyAlignment="1" applyProtection="1">
      <alignment vertical="center"/>
      <protection locked="0"/>
    </xf>
    <xf numFmtId="0" fontId="22" fillId="14" borderId="123" xfId="0" applyFont="1" applyFill="1" applyBorder="1" applyAlignment="1" applyProtection="1">
      <alignment horizontal="center" vertical="center"/>
      <protection locked="0"/>
    </xf>
    <xf numFmtId="0" fontId="22" fillId="14" borderId="124" xfId="0" applyFont="1" applyFill="1" applyBorder="1" applyAlignment="1" applyProtection="1">
      <alignment horizontal="center" vertical="center"/>
      <protection locked="0"/>
    </xf>
    <xf numFmtId="10" fontId="22" fillId="0" borderId="125" xfId="3" applyNumberFormat="1" applyFont="1" applyBorder="1" applyAlignment="1">
      <alignment horizontal="right" vertical="center"/>
    </xf>
    <xf numFmtId="0" fontId="22" fillId="0" borderId="126" xfId="0" applyFont="1" applyBorder="1" applyAlignment="1" applyProtection="1">
      <alignment vertical="center"/>
      <protection locked="0"/>
    </xf>
    <xf numFmtId="0" fontId="22" fillId="14" borderId="127" xfId="0" applyFont="1" applyFill="1" applyBorder="1" applyAlignment="1" applyProtection="1">
      <alignment horizontal="center" vertical="center"/>
      <protection locked="0"/>
    </xf>
    <xf numFmtId="0" fontId="22" fillId="14" borderId="127" xfId="0" applyFont="1" applyFill="1" applyBorder="1" applyAlignment="1" applyProtection="1">
      <alignment vertical="center"/>
      <protection locked="0"/>
    </xf>
    <xf numFmtId="0" fontId="22" fillId="14" borderId="128" xfId="0" applyFont="1" applyFill="1" applyBorder="1" applyAlignment="1" applyProtection="1">
      <alignment vertical="center"/>
      <protection locked="0"/>
    </xf>
    <xf numFmtId="0" fontId="22" fillId="0" borderId="123" xfId="0" applyFont="1" applyBorder="1" applyAlignment="1" applyProtection="1">
      <alignment horizontal="center" vertical="center"/>
      <protection locked="0"/>
    </xf>
    <xf numFmtId="0" fontId="22" fillId="0" borderId="124" xfId="0" applyFont="1" applyBorder="1" applyAlignment="1" applyProtection="1">
      <alignment horizontal="center" vertical="center"/>
      <protection locked="0"/>
    </xf>
    <xf numFmtId="10" fontId="22" fillId="14" borderId="129" xfId="3" applyNumberFormat="1" applyFont="1" applyFill="1" applyBorder="1" applyAlignment="1">
      <alignment vertical="center"/>
    </xf>
    <xf numFmtId="0" fontId="8" fillId="15" borderId="121" xfId="275" applyFont="1" applyFill="1" applyBorder="1" applyAlignment="1">
      <alignment horizontal="center" vertical="center"/>
    </xf>
    <xf numFmtId="0" fontId="8" fillId="15" borderId="121" xfId="275" applyFont="1" applyFill="1" applyBorder="1" applyAlignment="1">
      <alignment vertical="center"/>
    </xf>
    <xf numFmtId="0" fontId="42" fillId="2" borderId="115" xfId="275" applyFont="1" applyFill="1" applyBorder="1" applyAlignment="1">
      <alignment vertical="center"/>
    </xf>
    <xf numFmtId="2" fontId="42" fillId="2" borderId="115" xfId="3" applyNumberFormat="1" applyFont="1" applyFill="1" applyBorder="1" applyAlignment="1">
      <alignment vertical="center"/>
    </xf>
    <xf numFmtId="176" fontId="8" fillId="15" borderId="121" xfId="275" applyNumberFormat="1" applyFont="1" applyFill="1" applyBorder="1" applyAlignment="1">
      <alignment horizontal="center" vertical="center"/>
    </xf>
    <xf numFmtId="10" fontId="8" fillId="15" borderId="121" xfId="275" applyNumberFormat="1" applyFont="1" applyFill="1" applyBorder="1" applyAlignment="1">
      <alignment horizontal="right" vertical="center"/>
    </xf>
    <xf numFmtId="2" fontId="80" fillId="2" borderId="115" xfId="3" applyNumberFormat="1" applyFont="1" applyFill="1" applyBorder="1" applyAlignment="1">
      <alignment vertical="center"/>
    </xf>
    <xf numFmtId="43" fontId="8" fillId="15" borderId="121" xfId="1" applyFont="1" applyFill="1" applyBorder="1" applyAlignment="1">
      <alignment horizontal="center" vertical="center"/>
    </xf>
    <xf numFmtId="44" fontId="42" fillId="2" borderId="115" xfId="2" applyFont="1" applyFill="1" applyBorder="1" applyAlignment="1">
      <alignment vertical="center"/>
    </xf>
    <xf numFmtId="0" fontId="0" fillId="0" borderId="136" xfId="0" applyBorder="1" applyAlignment="1">
      <alignment horizontal="center"/>
    </xf>
    <xf numFmtId="10" fontId="0" fillId="0" borderId="137" xfId="3" applyNumberFormat="1" applyFont="1" applyBorder="1" applyAlignment="1">
      <alignment horizontal="center"/>
    </xf>
    <xf numFmtId="0" fontId="34" fillId="0" borderId="138" xfId="316" applyFont="1" applyBorder="1" applyAlignment="1">
      <alignment vertical="center"/>
    </xf>
    <xf numFmtId="10" fontId="73" fillId="0" borderId="139" xfId="0" applyNumberFormat="1" applyFont="1" applyBorder="1" applyAlignment="1">
      <alignment vertical="center"/>
    </xf>
    <xf numFmtId="10" fontId="73" fillId="0" borderId="139" xfId="0" applyNumberFormat="1" applyFont="1" applyBorder="1" applyAlignment="1">
      <alignment horizontal="center" vertical="center"/>
    </xf>
    <xf numFmtId="0" fontId="77" fillId="0" borderId="140" xfId="0" applyFont="1" applyBorder="1" applyAlignment="1">
      <alignment horizontal="center" wrapText="1"/>
    </xf>
    <xf numFmtId="4" fontId="77" fillId="0" borderId="140" xfId="0" applyNumberFormat="1" applyFont="1" applyBorder="1" applyAlignment="1">
      <alignment horizontal="center" wrapText="1"/>
    </xf>
    <xf numFmtId="0" fontId="2" fillId="0" borderId="138" xfId="0" applyFont="1" applyBorder="1" applyProtection="1">
      <protection locked="0"/>
    </xf>
    <xf numFmtId="0" fontId="2" fillId="0" borderId="141" xfId="0" applyFont="1" applyBorder="1" applyProtection="1">
      <protection locked="0"/>
    </xf>
    <xf numFmtId="0" fontId="2" fillId="0" borderId="139" xfId="0" applyFont="1" applyBorder="1" applyProtection="1">
      <protection locked="0"/>
    </xf>
    <xf numFmtId="0" fontId="73" fillId="0" borderId="142" xfId="0" applyFont="1" applyBorder="1"/>
    <xf numFmtId="0" fontId="89" fillId="0" borderId="142" xfId="0" applyFont="1" applyBorder="1" applyAlignment="1">
      <alignment horizontal="center" vertical="center"/>
    </xf>
    <xf numFmtId="0" fontId="89" fillId="0" borderId="142" xfId="0" applyFont="1" applyBorder="1" applyAlignment="1">
      <alignment horizontal="center" vertical="center" wrapText="1"/>
    </xf>
    <xf numFmtId="0" fontId="40" fillId="2" borderId="0" xfId="4" applyFont="1" applyFill="1" applyAlignment="1">
      <alignment horizontal="center" vertical="center"/>
    </xf>
    <xf numFmtId="0" fontId="8" fillId="15" borderId="121" xfId="275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165" fontId="91" fillId="2" borderId="0" xfId="279" applyFont="1" applyFill="1" applyAlignment="1">
      <alignment horizontal="center" vertical="center"/>
    </xf>
    <xf numFmtId="0" fontId="75" fillId="16" borderId="87" xfId="278" applyFont="1" applyFill="1" applyBorder="1" applyAlignment="1">
      <alignment horizontal="center"/>
    </xf>
    <xf numFmtId="0" fontId="8" fillId="16" borderId="88" xfId="278" applyFont="1" applyFill="1" applyBorder="1" applyAlignment="1">
      <alignment horizontal="center" vertical="center"/>
    </xf>
    <xf numFmtId="0" fontId="8" fillId="16" borderId="89" xfId="278" applyFont="1" applyFill="1" applyBorder="1" applyAlignment="1">
      <alignment horizontal="center" vertical="center"/>
    </xf>
    <xf numFmtId="0" fontId="8" fillId="16" borderId="90" xfId="278" applyFont="1" applyFill="1" applyBorder="1" applyAlignment="1">
      <alignment horizontal="center" vertical="center"/>
    </xf>
    <xf numFmtId="0" fontId="8" fillId="16" borderId="91" xfId="278" applyFont="1" applyFill="1" applyBorder="1" applyAlignment="1">
      <alignment horizontal="center" vertical="center"/>
    </xf>
    <xf numFmtId="0" fontId="39" fillId="16" borderId="88" xfId="278" applyFont="1" applyFill="1" applyBorder="1" applyAlignment="1">
      <alignment horizontal="center" vertical="center"/>
    </xf>
    <xf numFmtId="0" fontId="39" fillId="16" borderId="87" xfId="278" applyFont="1" applyFill="1" applyBorder="1" applyAlignment="1">
      <alignment horizontal="center" vertical="center"/>
    </xf>
    <xf numFmtId="0" fontId="39" fillId="16" borderId="89" xfId="278" applyFont="1" applyFill="1" applyBorder="1" applyAlignment="1">
      <alignment horizontal="center" vertical="center"/>
    </xf>
    <xf numFmtId="0" fontId="39" fillId="16" borderId="90" xfId="278" applyFont="1" applyFill="1" applyBorder="1" applyAlignment="1">
      <alignment horizontal="center" vertical="center"/>
    </xf>
    <xf numFmtId="0" fontId="39" fillId="16" borderId="86" xfId="278" applyFont="1" applyFill="1" applyBorder="1" applyAlignment="1">
      <alignment horizontal="center" vertical="center"/>
    </xf>
    <xf numFmtId="0" fontId="39" fillId="16" borderId="91" xfId="278" applyFont="1" applyFill="1" applyBorder="1" applyAlignment="1">
      <alignment horizontal="center" vertical="center"/>
    </xf>
    <xf numFmtId="0" fontId="75" fillId="16" borderId="90" xfId="278" applyFont="1" applyFill="1" applyBorder="1" applyAlignment="1">
      <alignment horizontal="right" vertical="center"/>
    </xf>
    <xf numFmtId="0" fontId="75" fillId="16" borderId="86" xfId="278" applyFont="1" applyFill="1" applyBorder="1" applyAlignment="1">
      <alignment horizontal="right" vertical="center"/>
    </xf>
    <xf numFmtId="187" fontId="75" fillId="16" borderId="86" xfId="278" applyNumberFormat="1" applyFont="1" applyFill="1" applyBorder="1" applyAlignment="1">
      <alignment horizontal="center" vertical="center"/>
    </xf>
    <xf numFmtId="187" fontId="75" fillId="16" borderId="91" xfId="278" applyNumberFormat="1" applyFont="1" applyFill="1" applyBorder="1" applyAlignment="1">
      <alignment horizontal="center" vertical="center"/>
    </xf>
    <xf numFmtId="0" fontId="75" fillId="16" borderId="85" xfId="278" applyFont="1" applyFill="1" applyBorder="1" applyAlignment="1">
      <alignment horizontal="center"/>
    </xf>
    <xf numFmtId="0" fontId="75" fillId="16" borderId="86" xfId="278" applyFont="1" applyFill="1" applyBorder="1" applyAlignment="1">
      <alignment horizontal="center"/>
    </xf>
    <xf numFmtId="0" fontId="2" fillId="16" borderId="41" xfId="278" applyFill="1" applyBorder="1" applyAlignment="1">
      <alignment horizontal="left"/>
    </xf>
    <xf numFmtId="0" fontId="2" fillId="16" borderId="42" xfId="278" applyFill="1" applyBorder="1" applyAlignment="1">
      <alignment horizontal="left"/>
    </xf>
    <xf numFmtId="40" fontId="2" fillId="16" borderId="42" xfId="278" applyNumberFormat="1" applyFill="1" applyBorder="1" applyAlignment="1">
      <alignment horizontal="center"/>
    </xf>
    <xf numFmtId="40" fontId="2" fillId="16" borderId="43" xfId="278" applyNumberFormat="1" applyFill="1" applyBorder="1" applyAlignment="1">
      <alignment horizontal="center"/>
    </xf>
    <xf numFmtId="0" fontId="2" fillId="16" borderId="44" xfId="278" applyFill="1" applyBorder="1" applyAlignment="1">
      <alignment horizontal="left"/>
    </xf>
    <xf numFmtId="0" fontId="2" fillId="16" borderId="45" xfId="278" applyFill="1" applyBorder="1" applyAlignment="1">
      <alignment horizontal="left"/>
    </xf>
    <xf numFmtId="0" fontId="2" fillId="16" borderId="46" xfId="278" applyFill="1" applyBorder="1" applyAlignment="1">
      <alignment horizontal="left"/>
    </xf>
    <xf numFmtId="40" fontId="2" fillId="16" borderId="47" xfId="278" applyNumberFormat="1" applyFill="1" applyBorder="1" applyAlignment="1">
      <alignment horizontal="center"/>
    </xf>
    <xf numFmtId="40" fontId="2" fillId="16" borderId="48" xfId="278" applyNumberFormat="1" applyFill="1" applyBorder="1" applyAlignment="1">
      <alignment horizontal="center"/>
    </xf>
    <xf numFmtId="0" fontId="38" fillId="16" borderId="44" xfId="278" applyFont="1" applyFill="1" applyBorder="1" applyAlignment="1">
      <alignment horizontal="left" vertical="center"/>
    </xf>
    <xf numFmtId="0" fontId="38" fillId="16" borderId="45" xfId="278" applyFont="1" applyFill="1" applyBorder="1" applyAlignment="1">
      <alignment horizontal="left" vertical="center"/>
    </xf>
    <xf numFmtId="0" fontId="38" fillId="16" borderId="46" xfId="278" applyFont="1" applyFill="1" applyBorder="1" applyAlignment="1">
      <alignment horizontal="left" vertical="center"/>
    </xf>
    <xf numFmtId="0" fontId="8" fillId="16" borderId="36" xfId="278" applyFont="1" applyFill="1" applyBorder="1" applyAlignment="1">
      <alignment horizontal="center" vertical="center"/>
    </xf>
    <xf numFmtId="0" fontId="8" fillId="16" borderId="37" xfId="278" applyFont="1" applyFill="1" applyBorder="1" applyAlignment="1">
      <alignment horizontal="center" vertical="center"/>
    </xf>
    <xf numFmtId="0" fontId="8" fillId="17" borderId="130" xfId="278" applyFont="1" applyFill="1" applyBorder="1" applyAlignment="1">
      <alignment horizontal="left"/>
    </xf>
    <xf numFmtId="0" fontId="8" fillId="17" borderId="131" xfId="278" applyFont="1" applyFill="1" applyBorder="1" applyAlignment="1">
      <alignment horizontal="left"/>
    </xf>
    <xf numFmtId="0" fontId="2" fillId="17" borderId="131" xfId="278" applyFill="1" applyBorder="1" applyAlignment="1">
      <alignment horizontal="center"/>
    </xf>
    <xf numFmtId="0" fontId="2" fillId="17" borderId="132" xfId="278" applyFill="1" applyBorder="1" applyAlignment="1">
      <alignment horizontal="center"/>
    </xf>
    <xf numFmtId="0" fontId="2" fillId="16" borderId="38" xfId="278" applyFill="1" applyBorder="1" applyAlignment="1">
      <alignment horizontal="left"/>
    </xf>
    <xf numFmtId="0" fontId="2" fillId="16" borderId="39" xfId="278" applyFill="1" applyBorder="1" applyAlignment="1">
      <alignment horizontal="left"/>
    </xf>
    <xf numFmtId="40" fontId="2" fillId="16" borderId="39" xfId="278" applyNumberFormat="1" applyFill="1" applyBorder="1" applyAlignment="1">
      <alignment horizontal="center"/>
    </xf>
    <xf numFmtId="40" fontId="2" fillId="16" borderId="40" xfId="278" applyNumberFormat="1" applyFill="1" applyBorder="1" applyAlignment="1">
      <alignment horizontal="center"/>
    </xf>
    <xf numFmtId="40" fontId="2" fillId="14" borderId="47" xfId="278" applyNumberFormat="1" applyFill="1" applyBorder="1" applyAlignment="1">
      <alignment horizontal="center"/>
    </xf>
    <xf numFmtId="40" fontId="2" fillId="14" borderId="48" xfId="278" applyNumberFormat="1" applyFill="1" applyBorder="1" applyAlignment="1">
      <alignment horizontal="center"/>
    </xf>
    <xf numFmtId="0" fontId="2" fillId="16" borderId="49" xfId="278" applyFill="1" applyBorder="1" applyAlignment="1">
      <alignment horizontal="left"/>
    </xf>
    <xf numFmtId="0" fontId="2" fillId="16" borderId="50" xfId="278" applyFill="1" applyBorder="1" applyAlignment="1">
      <alignment horizontal="left"/>
    </xf>
    <xf numFmtId="0" fontId="2" fillId="16" borderId="51" xfId="278" applyFill="1" applyBorder="1" applyAlignment="1">
      <alignment horizontal="left"/>
    </xf>
    <xf numFmtId="40" fontId="2" fillId="14" borderId="52" xfId="278" applyNumberFormat="1" applyFill="1" applyBorder="1" applyAlignment="1">
      <alignment horizontal="center"/>
    </xf>
    <xf numFmtId="40" fontId="2" fillId="14" borderId="53" xfId="278" applyNumberFormat="1" applyFill="1" applyBorder="1" applyAlignment="1">
      <alignment horizontal="center"/>
    </xf>
    <xf numFmtId="0" fontId="38" fillId="16" borderId="44" xfId="278" applyFont="1" applyFill="1" applyBorder="1" applyAlignment="1">
      <alignment horizontal="left"/>
    </xf>
    <xf numFmtId="0" fontId="38" fillId="16" borderId="45" xfId="278" applyFont="1" applyFill="1" applyBorder="1" applyAlignment="1">
      <alignment horizontal="left"/>
    </xf>
    <xf numFmtId="0" fontId="38" fillId="16" borderId="46" xfId="278" applyFont="1" applyFill="1" applyBorder="1" applyAlignment="1">
      <alignment horizontal="left"/>
    </xf>
    <xf numFmtId="0" fontId="8" fillId="16" borderId="92" xfId="278" applyFont="1" applyFill="1" applyBorder="1" applyAlignment="1">
      <alignment horizontal="left"/>
    </xf>
    <xf numFmtId="0" fontId="0" fillId="0" borderId="93" xfId="0" applyBorder="1"/>
    <xf numFmtId="0" fontId="0" fillId="0" borderId="94" xfId="0" applyBorder="1"/>
    <xf numFmtId="40" fontId="8" fillId="17" borderId="95" xfId="278" applyNumberFormat="1" applyFont="1" applyFill="1" applyBorder="1" applyAlignment="1">
      <alignment horizontal="center"/>
    </xf>
    <xf numFmtId="40" fontId="8" fillId="17" borderId="96" xfId="278" applyNumberFormat="1" applyFont="1" applyFill="1" applyBorder="1" applyAlignment="1">
      <alignment horizontal="center"/>
    </xf>
    <xf numFmtId="0" fontId="8" fillId="16" borderId="97" xfId="278" applyFont="1" applyFill="1" applyBorder="1" applyAlignment="1">
      <alignment horizontal="center"/>
    </xf>
    <xf numFmtId="0" fontId="8" fillId="16" borderId="87" xfId="278" applyFont="1" applyFill="1" applyBorder="1" applyAlignment="1">
      <alignment horizontal="center"/>
    </xf>
    <xf numFmtId="0" fontId="8" fillId="16" borderId="98" xfId="278" applyFont="1" applyFill="1" applyBorder="1" applyAlignment="1">
      <alignment horizontal="center"/>
    </xf>
    <xf numFmtId="0" fontId="8" fillId="16" borderId="99" xfId="278" applyFont="1" applyFill="1" applyBorder="1" applyAlignment="1">
      <alignment horizontal="center"/>
    </xf>
    <xf numFmtId="0" fontId="8" fillId="16" borderId="86" xfId="278" applyFont="1" applyFill="1" applyBorder="1" applyAlignment="1">
      <alignment horizontal="center"/>
    </xf>
    <xf numFmtId="0" fontId="8" fillId="16" borderId="100" xfId="278" applyFont="1" applyFill="1" applyBorder="1" applyAlignment="1">
      <alignment horizontal="center"/>
    </xf>
    <xf numFmtId="0" fontId="38" fillId="16" borderId="97" xfId="278" applyFont="1" applyFill="1" applyBorder="1" applyAlignment="1">
      <alignment horizontal="center"/>
    </xf>
    <xf numFmtId="0" fontId="38" fillId="16" borderId="87" xfId="278" applyFont="1" applyFill="1" applyBorder="1" applyAlignment="1">
      <alignment horizontal="center"/>
    </xf>
    <xf numFmtId="0" fontId="38" fillId="16" borderId="98" xfId="278" applyFont="1" applyFill="1" applyBorder="1" applyAlignment="1">
      <alignment horizontal="center"/>
    </xf>
    <xf numFmtId="0" fontId="38" fillId="16" borderId="54" xfId="278" applyFont="1" applyFill="1" applyBorder="1" applyAlignment="1">
      <alignment horizontal="center"/>
    </xf>
    <xf numFmtId="0" fontId="38" fillId="16" borderId="0" xfId="278" applyFont="1" applyFill="1" applyAlignment="1">
      <alignment horizontal="center"/>
    </xf>
    <xf numFmtId="0" fontId="38" fillId="16" borderId="55" xfId="278" applyFont="1" applyFill="1" applyBorder="1" applyAlignment="1">
      <alignment horizontal="center"/>
    </xf>
    <xf numFmtId="40" fontId="2" fillId="16" borderId="101" xfId="278" applyNumberFormat="1" applyFill="1" applyBorder="1" applyAlignment="1">
      <alignment horizontal="center"/>
    </xf>
    <xf numFmtId="40" fontId="2" fillId="16" borderId="102" xfId="278" applyNumberFormat="1" applyFill="1" applyBorder="1" applyAlignment="1">
      <alignment horizontal="center"/>
    </xf>
    <xf numFmtId="40" fontId="2" fillId="16" borderId="103" xfId="278" applyNumberFormat="1" applyFill="1" applyBorder="1" applyAlignment="1">
      <alignment horizontal="center"/>
    </xf>
    <xf numFmtId="40" fontId="2" fillId="16" borderId="104" xfId="278" applyNumberFormat="1" applyFill="1" applyBorder="1" applyAlignment="1">
      <alignment horizontal="center"/>
    </xf>
    <xf numFmtId="40" fontId="2" fillId="16" borderId="56" xfId="278" applyNumberFormat="1" applyFill="1" applyBorder="1" applyAlignment="1">
      <alignment horizontal="center"/>
    </xf>
    <xf numFmtId="40" fontId="2" fillId="16" borderId="57" xfId="278" applyNumberFormat="1" applyFill="1" applyBorder="1" applyAlignment="1">
      <alignment horizontal="center"/>
    </xf>
    <xf numFmtId="0" fontId="2" fillId="0" borderId="87" xfId="278" applyBorder="1" applyAlignment="1">
      <alignment horizontal="center"/>
    </xf>
    <xf numFmtId="0" fontId="2" fillId="0" borderId="0" xfId="278" applyAlignment="1">
      <alignment horizontal="center"/>
    </xf>
    <xf numFmtId="0" fontId="8" fillId="17" borderId="133" xfId="278" applyFont="1" applyFill="1" applyBorder="1" applyAlignment="1">
      <alignment horizontal="center" vertical="center"/>
    </xf>
    <xf numFmtId="190" fontId="8" fillId="17" borderId="133" xfId="278" applyNumberFormat="1" applyFont="1" applyFill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76" fillId="14" borderId="69" xfId="0" applyFont="1" applyFill="1" applyBorder="1" applyAlignment="1">
      <alignment horizontal="center" vertical="center"/>
    </xf>
    <xf numFmtId="0" fontId="76" fillId="14" borderId="70" xfId="0" applyFont="1" applyFill="1" applyBorder="1" applyAlignment="1">
      <alignment horizontal="center" vertical="center"/>
    </xf>
    <xf numFmtId="0" fontId="76" fillId="14" borderId="71" xfId="0" applyFont="1" applyFill="1" applyBorder="1" applyAlignment="1">
      <alignment horizontal="center" vertical="center"/>
    </xf>
    <xf numFmtId="0" fontId="40" fillId="2" borderId="0" xfId="275" applyFont="1" applyFill="1" applyAlignment="1">
      <alignment horizontal="center" vertical="center"/>
    </xf>
    <xf numFmtId="0" fontId="40" fillId="2" borderId="58" xfId="275" applyFont="1" applyFill="1" applyBorder="1" applyAlignment="1">
      <alignment horizontal="center" vertical="center"/>
    </xf>
    <xf numFmtId="0" fontId="70" fillId="0" borderId="60" xfId="0" applyFont="1" applyBorder="1" applyAlignment="1">
      <alignment horizontal="center" vertical="center"/>
    </xf>
    <xf numFmtId="0" fontId="70" fillId="0" borderId="61" xfId="0" applyFont="1" applyBorder="1" applyAlignment="1">
      <alignment horizontal="center" vertical="center"/>
    </xf>
    <xf numFmtId="0" fontId="70" fillId="0" borderId="105" xfId="0" applyFont="1" applyBorder="1" applyAlignment="1">
      <alignment horizontal="center" vertical="center"/>
    </xf>
    <xf numFmtId="0" fontId="70" fillId="0" borderId="106" xfId="0" applyFont="1" applyBorder="1" applyAlignment="1">
      <alignment horizontal="center" vertical="center"/>
    </xf>
    <xf numFmtId="0" fontId="70" fillId="0" borderId="62" xfId="0" applyFont="1" applyBorder="1" applyAlignment="1">
      <alignment horizontal="justify" vertical="center"/>
    </xf>
    <xf numFmtId="0" fontId="70" fillId="0" borderId="107" xfId="0" applyFont="1" applyBorder="1" applyAlignment="1">
      <alignment horizontal="justify" vertical="center"/>
    </xf>
    <xf numFmtId="0" fontId="0" fillId="0" borderId="134" xfId="0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165" fontId="92" fillId="2" borderId="0" xfId="279" applyFont="1" applyFill="1" applyAlignment="1">
      <alignment horizontal="center" vertical="center"/>
    </xf>
    <xf numFmtId="165" fontId="84" fillId="2" borderId="0" xfId="279" applyFont="1" applyFill="1" applyAlignment="1">
      <alignment horizontal="center" vertical="center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/>
    </xf>
    <xf numFmtId="0" fontId="70" fillId="0" borderId="120" xfId="0" applyFont="1" applyBorder="1" applyAlignment="1">
      <alignment horizontal="center"/>
    </xf>
    <xf numFmtId="0" fontId="70" fillId="0" borderId="115" xfId="0" applyFont="1" applyBorder="1" applyAlignment="1">
      <alignment horizontal="center"/>
    </xf>
    <xf numFmtId="0" fontId="70" fillId="0" borderId="116" xfId="0" applyFont="1" applyBorder="1" applyAlignment="1">
      <alignment horizontal="center"/>
    </xf>
    <xf numFmtId="165" fontId="42" fillId="2" borderId="0" xfId="279" applyFont="1" applyFill="1" applyAlignment="1">
      <alignment horizontal="center" vertical="center"/>
    </xf>
    <xf numFmtId="0" fontId="41" fillId="2" borderId="0" xfId="4" applyFont="1" applyFill="1" applyAlignment="1">
      <alignment horizontal="center" vertical="center"/>
    </xf>
    <xf numFmtId="0" fontId="43" fillId="2" borderId="0" xfId="278" applyFont="1" applyFill="1" applyAlignment="1">
      <alignment horizontal="center" vertical="center"/>
    </xf>
    <xf numFmtId="0" fontId="65" fillId="2" borderId="0" xfId="4" applyFont="1" applyFill="1" applyAlignment="1">
      <alignment horizontal="center" vertical="center"/>
    </xf>
    <xf numFmtId="0" fontId="88" fillId="2" borderId="0" xfId="0" applyFont="1" applyFill="1" applyAlignment="1">
      <alignment horizontal="center"/>
    </xf>
    <xf numFmtId="0" fontId="34" fillId="14" borderId="119" xfId="0" applyFont="1" applyFill="1" applyBorder="1" applyAlignment="1" applyProtection="1">
      <alignment horizontal="center" vertical="center"/>
      <protection locked="0"/>
    </xf>
    <xf numFmtId="0" fontId="34" fillId="14" borderId="112" xfId="0" applyFont="1" applyFill="1" applyBorder="1" applyAlignment="1" applyProtection="1">
      <alignment horizontal="center" vertical="center"/>
      <protection locked="0"/>
    </xf>
    <xf numFmtId="0" fontId="34" fillId="14" borderId="113" xfId="0" applyFont="1" applyFill="1" applyBorder="1" applyAlignment="1" applyProtection="1">
      <alignment horizontal="center" vertical="center"/>
      <protection locked="0"/>
    </xf>
    <xf numFmtId="0" fontId="34" fillId="0" borderId="120" xfId="0" applyFont="1" applyBorder="1" applyAlignment="1" applyProtection="1">
      <alignment horizontal="left" vertical="center"/>
      <protection locked="0"/>
    </xf>
    <xf numFmtId="0" fontId="34" fillId="0" borderId="115" xfId="0" applyFont="1" applyBorder="1" applyAlignment="1" applyProtection="1">
      <alignment horizontal="left" vertical="center"/>
      <protection locked="0"/>
    </xf>
    <xf numFmtId="0" fontId="40" fillId="2" borderId="141" xfId="275" applyFont="1" applyFill="1" applyBorder="1" applyAlignment="1">
      <alignment horizontal="center" vertical="center"/>
    </xf>
  </cellXfs>
  <cellStyles count="541">
    <cellStyle name="_Consumidores" xfId="5" xr:uid="{00000000-0005-0000-0000-000000000000}"/>
    <cellStyle name="_Consumidores_C-O&amp;M-Agua (Cap)" xfId="6" xr:uid="{00000000-0005-0000-0000-000001000000}"/>
    <cellStyle name="_Consumidores_C-O&amp;M-Agua (Dist)" xfId="7" xr:uid="{00000000-0005-0000-0000-000002000000}"/>
    <cellStyle name="_Consumidores_C-O&amp;M-Agua (Dist)_C-O&amp;M-Esgoto (Col)" xfId="8" xr:uid="{00000000-0005-0000-0000-000003000000}"/>
    <cellStyle name="_Consumidores_C-O&amp;M-Agua (Dist)_E-Adicionais" xfId="9" xr:uid="{00000000-0005-0000-0000-000004000000}"/>
    <cellStyle name="_Consumidores_C-O&amp;M-Agua (ETA)" xfId="10" xr:uid="{00000000-0005-0000-0000-000005000000}"/>
    <cellStyle name="_Consumidores_C-O&amp;M-Agua (ETA)_1" xfId="11" xr:uid="{00000000-0005-0000-0000-000006000000}"/>
    <cellStyle name="_Consumidores_C-O&amp;M-Agua (ETA)_C-O&amp;M-Agua (Cap)" xfId="12" xr:uid="{00000000-0005-0000-0000-000007000000}"/>
    <cellStyle name="_Consumidores_C-O&amp;M-Agua (ETA)_C-O&amp;M-Agua (Dist)" xfId="13" xr:uid="{00000000-0005-0000-0000-000008000000}"/>
    <cellStyle name="_Consumidores_C-O&amp;M-Agua (ETA)_C-O&amp;M-Agua (Dist)_C-O&amp;M-Esgoto (Col)" xfId="14" xr:uid="{00000000-0005-0000-0000-000009000000}"/>
    <cellStyle name="_Consumidores_C-O&amp;M-Agua (ETA)_C-O&amp;M-Agua (Dist)_E-Adicionais" xfId="15" xr:uid="{00000000-0005-0000-0000-00000A000000}"/>
    <cellStyle name="_Consumidores_C-O&amp;M-Agua (ETA)_C-O&amp;M-Agua (ETA)" xfId="16" xr:uid="{00000000-0005-0000-0000-00000B000000}"/>
    <cellStyle name="_Consumidores_C-O&amp;M-Agua (ETA)_C-O&amp;M-Esgoto (Col)" xfId="17" xr:uid="{00000000-0005-0000-0000-00000C000000}"/>
    <cellStyle name="_Consumidores_C-O&amp;M-Agua (ETA)_C-O&amp;M-Esgoto (Col)_1" xfId="18" xr:uid="{00000000-0005-0000-0000-00000D000000}"/>
    <cellStyle name="_Consumidores_C-O&amp;M-Agua (ETA)_C-O&amp;M-Esgoto (Col)_C-O&amp;M-Esgoto (Col)" xfId="19" xr:uid="{00000000-0005-0000-0000-00000E000000}"/>
    <cellStyle name="_Consumidores_C-O&amp;M-Agua (ETA)_C-O&amp;M-Esgoto (Col)_E-Adicionais" xfId="20" xr:uid="{00000000-0005-0000-0000-00000F000000}"/>
    <cellStyle name="_Consumidores_C-O&amp;M-Agua (ETA)_C-O&amp;M-Esgoto (Emi)" xfId="21" xr:uid="{00000000-0005-0000-0000-000010000000}"/>
    <cellStyle name="_Consumidores_C-O&amp;M-Agua (ETA)_C-O&amp;M-Esgoto (ETE)" xfId="22" xr:uid="{00000000-0005-0000-0000-000011000000}"/>
    <cellStyle name="_Consumidores_C-O&amp;M-Agua (ETA)_Controle" xfId="23" xr:uid="{00000000-0005-0000-0000-000012000000}"/>
    <cellStyle name="_Consumidores_C-O&amp;M-Agua (ETA)_Controle_C-O&amp;M-Esgoto (Col)" xfId="24" xr:uid="{00000000-0005-0000-0000-000013000000}"/>
    <cellStyle name="_Consumidores_C-O&amp;M-Agua (ETA)_Controle_E-Adicionais" xfId="25" xr:uid="{00000000-0005-0000-0000-000014000000}"/>
    <cellStyle name="_Consumidores_C-O&amp;M-Agua (ETA)_E-Adicionais" xfId="26" xr:uid="{00000000-0005-0000-0000-000015000000}"/>
    <cellStyle name="_Consumidores_C-O&amp;M-Agua (ETA)_E-Elevatorias" xfId="27" xr:uid="{00000000-0005-0000-0000-000016000000}"/>
    <cellStyle name="_Consumidores_C-O&amp;M-Agua (ETA)_E-Elevatorias_C-O&amp;M-Esgoto (Col)" xfId="28" xr:uid="{00000000-0005-0000-0000-000017000000}"/>
    <cellStyle name="_Consumidores_C-O&amp;M-Agua (ETA)_E-Elevatorias_E-Adicionais" xfId="29" xr:uid="{00000000-0005-0000-0000-000018000000}"/>
    <cellStyle name="_Consumidores_C-O&amp;M-Agua (ETA)_E-ETA-ETE" xfId="30" xr:uid="{00000000-0005-0000-0000-000019000000}"/>
    <cellStyle name="_Consumidores_C-O&amp;M-Agua (ETA)_E-ETA-ETE_C-O&amp;M-Esgoto (Col)" xfId="31" xr:uid="{00000000-0005-0000-0000-00001A000000}"/>
    <cellStyle name="_Consumidores_C-O&amp;M-Agua (ETA)_E-ETA-ETE_E-Adicionais" xfId="32" xr:uid="{00000000-0005-0000-0000-00001B000000}"/>
    <cellStyle name="_Consumidores_C-O&amp;M-Agua (ETA)_E-Fisicos-Agua (Cap)" xfId="33" xr:uid="{00000000-0005-0000-0000-00001C000000}"/>
    <cellStyle name="_Consumidores_C-O&amp;M-Agua (ETA)_E-Fisicos-Agua (Cap)_C-O&amp;M-Esgoto (Col)" xfId="34" xr:uid="{00000000-0005-0000-0000-00001D000000}"/>
    <cellStyle name="_Consumidores_C-O&amp;M-Agua (ETA)_E-Fisicos-Agua (Cap)_E-Adicionais" xfId="35" xr:uid="{00000000-0005-0000-0000-00001E000000}"/>
    <cellStyle name="_Consumidores_C-O&amp;M-Agua (ETA)_E-Fisicos-Agua (Dist)" xfId="36" xr:uid="{00000000-0005-0000-0000-00001F000000}"/>
    <cellStyle name="_Consumidores_C-O&amp;M-Agua (ETA)_E-Fisicos-Agua (Dist)_C-O&amp;M-Esgoto (Col)" xfId="37" xr:uid="{00000000-0005-0000-0000-000020000000}"/>
    <cellStyle name="_Consumidores_C-O&amp;M-Agua (ETA)_E-Fisicos-Agua (Dist)_E-Adicionais" xfId="38" xr:uid="{00000000-0005-0000-0000-000021000000}"/>
    <cellStyle name="_Consumidores_C-O&amp;M-Agua (ETA)_E-Fisicos-Agua (ETA)" xfId="39" xr:uid="{00000000-0005-0000-0000-000022000000}"/>
    <cellStyle name="_Consumidores_C-O&amp;M-Agua (ETA)_E-Fisicos-Agua (ETA)_C-O&amp;M-Esgoto (Col)" xfId="40" xr:uid="{00000000-0005-0000-0000-000023000000}"/>
    <cellStyle name="_Consumidores_C-O&amp;M-Agua (ETA)_E-Fisicos-Agua (ETA)_E-Adicionais" xfId="41" xr:uid="{00000000-0005-0000-0000-000024000000}"/>
    <cellStyle name="_Consumidores_C-O&amp;M-Agua (ETA)_E-Fisicos-Esgoto (Col)" xfId="42" xr:uid="{00000000-0005-0000-0000-000025000000}"/>
    <cellStyle name="_Consumidores_C-O&amp;M-Agua (ETA)_E-Fisicos-Esgoto (Col)_C-O&amp;M-Esgoto (Col)" xfId="43" xr:uid="{00000000-0005-0000-0000-000026000000}"/>
    <cellStyle name="_Consumidores_C-O&amp;M-Agua (ETA)_E-Fisicos-Esgoto (Col)_E-Adicionais" xfId="44" xr:uid="{00000000-0005-0000-0000-000027000000}"/>
    <cellStyle name="_Consumidores_C-O&amp;M-Esgoto (Col)" xfId="45" xr:uid="{00000000-0005-0000-0000-000028000000}"/>
    <cellStyle name="_Consumidores_C-O&amp;M-Esgoto (Col)_1" xfId="46" xr:uid="{00000000-0005-0000-0000-000029000000}"/>
    <cellStyle name="_Consumidores_C-O&amp;M-Esgoto (Col)_C-O&amp;M-Esgoto (Col)" xfId="47" xr:uid="{00000000-0005-0000-0000-00002A000000}"/>
    <cellStyle name="_Consumidores_C-O&amp;M-Esgoto (Col)_E-Adicionais" xfId="48" xr:uid="{00000000-0005-0000-0000-00002B000000}"/>
    <cellStyle name="_Consumidores_C-O&amp;M-Esgoto (Emi)" xfId="49" xr:uid="{00000000-0005-0000-0000-00002C000000}"/>
    <cellStyle name="_Consumidores_C-O&amp;M-Esgoto (ETE)" xfId="50" xr:uid="{00000000-0005-0000-0000-00002D000000}"/>
    <cellStyle name="_Consumidores_C-O&amp;M-Esgoto (ETE)_1" xfId="51" xr:uid="{00000000-0005-0000-0000-00002E000000}"/>
    <cellStyle name="_Consumidores_C-O&amp;M-Esgoto (ETE)_C-O&amp;M-Agua (Cap)" xfId="52" xr:uid="{00000000-0005-0000-0000-00002F000000}"/>
    <cellStyle name="_Consumidores_C-O&amp;M-Esgoto (ETE)_C-O&amp;M-Agua (Dist)" xfId="53" xr:uid="{00000000-0005-0000-0000-000030000000}"/>
    <cellStyle name="_Consumidores_C-O&amp;M-Esgoto (ETE)_C-O&amp;M-Agua (Dist)_C-O&amp;M-Esgoto (Col)" xfId="54" xr:uid="{00000000-0005-0000-0000-000031000000}"/>
    <cellStyle name="_Consumidores_C-O&amp;M-Esgoto (ETE)_C-O&amp;M-Agua (Dist)_E-Adicionais" xfId="55" xr:uid="{00000000-0005-0000-0000-000032000000}"/>
    <cellStyle name="_Consumidores_C-O&amp;M-Esgoto (ETE)_C-O&amp;M-Agua (ETA)" xfId="56" xr:uid="{00000000-0005-0000-0000-000033000000}"/>
    <cellStyle name="_Consumidores_C-O&amp;M-Esgoto (ETE)_C-O&amp;M-Esgoto (Col)" xfId="57" xr:uid="{00000000-0005-0000-0000-000034000000}"/>
    <cellStyle name="_Consumidores_C-O&amp;M-Esgoto (ETE)_C-O&amp;M-Esgoto (Col)_1" xfId="58" xr:uid="{00000000-0005-0000-0000-000035000000}"/>
    <cellStyle name="_Consumidores_C-O&amp;M-Esgoto (ETE)_C-O&amp;M-Esgoto (Col)_C-O&amp;M-Esgoto (Col)" xfId="59" xr:uid="{00000000-0005-0000-0000-000036000000}"/>
    <cellStyle name="_Consumidores_C-O&amp;M-Esgoto (ETE)_C-O&amp;M-Esgoto (Col)_E-Adicionais" xfId="60" xr:uid="{00000000-0005-0000-0000-000037000000}"/>
    <cellStyle name="_Consumidores_C-O&amp;M-Esgoto (ETE)_C-O&amp;M-Esgoto (Emi)" xfId="61" xr:uid="{00000000-0005-0000-0000-000038000000}"/>
    <cellStyle name="_Consumidores_C-O&amp;M-Esgoto (ETE)_C-O&amp;M-Esgoto (ETE)" xfId="62" xr:uid="{00000000-0005-0000-0000-000039000000}"/>
    <cellStyle name="_Consumidores_C-O&amp;M-Esgoto (ETE)_Controle" xfId="63" xr:uid="{00000000-0005-0000-0000-00003A000000}"/>
    <cellStyle name="_Consumidores_C-O&amp;M-Esgoto (ETE)_Controle_C-O&amp;M-Esgoto (Col)" xfId="64" xr:uid="{00000000-0005-0000-0000-00003B000000}"/>
    <cellStyle name="_Consumidores_C-O&amp;M-Esgoto (ETE)_Controle_E-Adicionais" xfId="65" xr:uid="{00000000-0005-0000-0000-00003C000000}"/>
    <cellStyle name="_Consumidores_C-O&amp;M-Esgoto (ETE)_E-Adicionais" xfId="66" xr:uid="{00000000-0005-0000-0000-00003D000000}"/>
    <cellStyle name="_Consumidores_C-O&amp;M-Esgoto (ETE)_E-Elevatorias" xfId="67" xr:uid="{00000000-0005-0000-0000-00003E000000}"/>
    <cellStyle name="_Consumidores_C-O&amp;M-Esgoto (ETE)_E-Elevatorias_C-O&amp;M-Esgoto (Col)" xfId="68" xr:uid="{00000000-0005-0000-0000-00003F000000}"/>
    <cellStyle name="_Consumidores_C-O&amp;M-Esgoto (ETE)_E-Elevatorias_E-Adicionais" xfId="69" xr:uid="{00000000-0005-0000-0000-000040000000}"/>
    <cellStyle name="_Consumidores_C-O&amp;M-Esgoto (ETE)_E-ETA-ETE" xfId="70" xr:uid="{00000000-0005-0000-0000-000041000000}"/>
    <cellStyle name="_Consumidores_C-O&amp;M-Esgoto (ETE)_E-ETA-ETE_C-O&amp;M-Esgoto (Col)" xfId="71" xr:uid="{00000000-0005-0000-0000-000042000000}"/>
    <cellStyle name="_Consumidores_C-O&amp;M-Esgoto (ETE)_E-ETA-ETE_E-Adicionais" xfId="72" xr:uid="{00000000-0005-0000-0000-000043000000}"/>
    <cellStyle name="_Consumidores_C-O&amp;M-Esgoto (ETE)_E-Fisicos-Agua (Cap)" xfId="73" xr:uid="{00000000-0005-0000-0000-000044000000}"/>
    <cellStyle name="_Consumidores_C-O&amp;M-Esgoto (ETE)_E-Fisicos-Agua (Cap)_C-O&amp;M-Esgoto (Col)" xfId="74" xr:uid="{00000000-0005-0000-0000-000045000000}"/>
    <cellStyle name="_Consumidores_C-O&amp;M-Esgoto (ETE)_E-Fisicos-Agua (Cap)_E-Adicionais" xfId="75" xr:uid="{00000000-0005-0000-0000-000046000000}"/>
    <cellStyle name="_Consumidores_C-O&amp;M-Esgoto (ETE)_E-Fisicos-Agua (Dist)" xfId="76" xr:uid="{00000000-0005-0000-0000-000047000000}"/>
    <cellStyle name="_Consumidores_C-O&amp;M-Esgoto (ETE)_E-Fisicos-Agua (Dist)_C-O&amp;M-Esgoto (Col)" xfId="77" xr:uid="{00000000-0005-0000-0000-000048000000}"/>
    <cellStyle name="_Consumidores_C-O&amp;M-Esgoto (ETE)_E-Fisicos-Agua (Dist)_E-Adicionais" xfId="78" xr:uid="{00000000-0005-0000-0000-000049000000}"/>
    <cellStyle name="_Consumidores_C-O&amp;M-Esgoto (ETE)_E-Fisicos-Agua (ETA)" xfId="79" xr:uid="{00000000-0005-0000-0000-00004A000000}"/>
    <cellStyle name="_Consumidores_C-O&amp;M-Esgoto (ETE)_E-Fisicos-Agua (ETA)_C-O&amp;M-Esgoto (Col)" xfId="80" xr:uid="{00000000-0005-0000-0000-00004B000000}"/>
    <cellStyle name="_Consumidores_C-O&amp;M-Esgoto (ETE)_E-Fisicos-Agua (ETA)_E-Adicionais" xfId="81" xr:uid="{00000000-0005-0000-0000-00004C000000}"/>
    <cellStyle name="_Consumidores_C-O&amp;M-Esgoto (ETE)_E-Fisicos-Esgoto (Col)" xfId="82" xr:uid="{00000000-0005-0000-0000-00004D000000}"/>
    <cellStyle name="_Consumidores_C-O&amp;M-Esgoto (ETE)_E-Fisicos-Esgoto (Col)_C-O&amp;M-Esgoto (Col)" xfId="83" xr:uid="{00000000-0005-0000-0000-00004E000000}"/>
    <cellStyle name="_Consumidores_C-O&amp;M-Esgoto (ETE)_E-Fisicos-Esgoto (Col)_E-Adicionais" xfId="84" xr:uid="{00000000-0005-0000-0000-00004F000000}"/>
    <cellStyle name="_Consumidores_Controle" xfId="85" xr:uid="{00000000-0005-0000-0000-000050000000}"/>
    <cellStyle name="_Consumidores_Controle_C-O&amp;M-Esgoto (Col)" xfId="86" xr:uid="{00000000-0005-0000-0000-000051000000}"/>
    <cellStyle name="_Consumidores_Controle_E-Adicionais" xfId="87" xr:uid="{00000000-0005-0000-0000-000052000000}"/>
    <cellStyle name="_Consumidores_E-Adicionais" xfId="88" xr:uid="{00000000-0005-0000-0000-000053000000}"/>
    <cellStyle name="_Consumidores_E-Elevatorias" xfId="89" xr:uid="{00000000-0005-0000-0000-000054000000}"/>
    <cellStyle name="_Consumidores_E-Elevatorias_C-O&amp;M-Esgoto (Col)" xfId="90" xr:uid="{00000000-0005-0000-0000-000055000000}"/>
    <cellStyle name="_Consumidores_E-Elevatorias_E-Adicionais" xfId="91" xr:uid="{00000000-0005-0000-0000-000056000000}"/>
    <cellStyle name="_Consumidores_E-ETA-ETE" xfId="92" xr:uid="{00000000-0005-0000-0000-000057000000}"/>
    <cellStyle name="_Consumidores_E-ETA-ETE_C-O&amp;M-Esgoto (Col)" xfId="93" xr:uid="{00000000-0005-0000-0000-000058000000}"/>
    <cellStyle name="_Consumidores_E-ETA-ETE_E-Adicionais" xfId="94" xr:uid="{00000000-0005-0000-0000-000059000000}"/>
    <cellStyle name="_Consumidores_E-Fisicos-Agua (Cap)" xfId="95" xr:uid="{00000000-0005-0000-0000-00005A000000}"/>
    <cellStyle name="_Consumidores_E-Fisicos-Agua (Cap)_C-O&amp;M-Esgoto (Col)" xfId="96" xr:uid="{00000000-0005-0000-0000-00005B000000}"/>
    <cellStyle name="_Consumidores_E-Fisicos-Agua (Cap)_E-Adicionais" xfId="97" xr:uid="{00000000-0005-0000-0000-00005C000000}"/>
    <cellStyle name="_Consumidores_E-Fisicos-Agua (Dist)" xfId="98" xr:uid="{00000000-0005-0000-0000-00005D000000}"/>
    <cellStyle name="_Consumidores_E-Fisicos-Agua (Dist)_C-O&amp;M-Esgoto (Col)" xfId="99" xr:uid="{00000000-0005-0000-0000-00005E000000}"/>
    <cellStyle name="_Consumidores_E-Fisicos-Agua (Dist)_E-Adicionais" xfId="100" xr:uid="{00000000-0005-0000-0000-00005F000000}"/>
    <cellStyle name="_Consumidores_E-Fisicos-Agua (ETA)" xfId="101" xr:uid="{00000000-0005-0000-0000-000060000000}"/>
    <cellStyle name="_Consumidores_E-Fisicos-Agua (ETA)_C-O&amp;M-Esgoto (Col)" xfId="102" xr:uid="{00000000-0005-0000-0000-000061000000}"/>
    <cellStyle name="_Consumidores_E-Fisicos-Agua (ETA)_E-Adicionais" xfId="103" xr:uid="{00000000-0005-0000-0000-000062000000}"/>
    <cellStyle name="_Consumidores_E-Fisicos-Esgoto (Col)" xfId="104" xr:uid="{00000000-0005-0000-0000-000063000000}"/>
    <cellStyle name="_Consumidores_E-Fisicos-Esgoto (Col)_C-O&amp;M-Esgoto (Col)" xfId="105" xr:uid="{00000000-0005-0000-0000-000064000000}"/>
    <cellStyle name="_Consumidores_E-Fisicos-Esgoto (Col)_E-Adicionais" xfId="106" xr:uid="{00000000-0005-0000-0000-000065000000}"/>
    <cellStyle name="_Consumidores_MODELO ER - ADASA (v 0.7) Marcelo" xfId="107" xr:uid="{00000000-0005-0000-0000-000066000000}"/>
    <cellStyle name="_Consumidores_MODELO ER - ADASA (v 0.7) Marcelo_C-O&amp;M-Esgoto (Col)" xfId="108" xr:uid="{00000000-0005-0000-0000-000067000000}"/>
    <cellStyle name="_Consumidores_MODELO ER - ADASA (v 0.7) Marcelo_E-Adicionais" xfId="109" xr:uid="{00000000-0005-0000-0000-000068000000}"/>
    <cellStyle name="_Consumidores_Sheet1" xfId="110" xr:uid="{00000000-0005-0000-0000-000069000000}"/>
    <cellStyle name="_Consumidores_Sheet1_C-O&amp;M-Agua (Cap)" xfId="111" xr:uid="{00000000-0005-0000-0000-00006A000000}"/>
    <cellStyle name="_Consumidores_Sheet1_C-O&amp;M-Agua (Dist)" xfId="112" xr:uid="{00000000-0005-0000-0000-00006B000000}"/>
    <cellStyle name="_Consumidores_Sheet1_C-O&amp;M-Agua (Dist)_C-O&amp;M-Esgoto (Col)" xfId="113" xr:uid="{00000000-0005-0000-0000-00006C000000}"/>
    <cellStyle name="_Consumidores_Sheet1_C-O&amp;M-Agua (Dist)_E-Adicionais" xfId="114" xr:uid="{00000000-0005-0000-0000-00006D000000}"/>
    <cellStyle name="_Consumidores_Sheet1_C-O&amp;M-Agua (ETA)" xfId="115" xr:uid="{00000000-0005-0000-0000-00006E000000}"/>
    <cellStyle name="_Consumidores_Sheet1_C-O&amp;M-Esgoto (Col)" xfId="116" xr:uid="{00000000-0005-0000-0000-00006F000000}"/>
    <cellStyle name="_Consumidores_Sheet1_C-O&amp;M-Esgoto (Col)_1" xfId="117" xr:uid="{00000000-0005-0000-0000-000070000000}"/>
    <cellStyle name="_Consumidores_Sheet1_C-O&amp;M-Esgoto (Col)_C-O&amp;M-Esgoto (Col)" xfId="118" xr:uid="{00000000-0005-0000-0000-000071000000}"/>
    <cellStyle name="_Consumidores_Sheet1_C-O&amp;M-Esgoto (Col)_E-Adicionais" xfId="119" xr:uid="{00000000-0005-0000-0000-000072000000}"/>
    <cellStyle name="_Consumidores_Sheet1_C-O&amp;M-Esgoto (Emi)" xfId="120" xr:uid="{00000000-0005-0000-0000-000073000000}"/>
    <cellStyle name="_Consumidores_Sheet1_C-O&amp;M-Esgoto (ETE)" xfId="121" xr:uid="{00000000-0005-0000-0000-000074000000}"/>
    <cellStyle name="_Consumidores_Sheet1_Controle" xfId="122" xr:uid="{00000000-0005-0000-0000-000075000000}"/>
    <cellStyle name="_Consumidores_Sheet1_Controle_C-O&amp;M-Esgoto (Col)" xfId="123" xr:uid="{00000000-0005-0000-0000-000076000000}"/>
    <cellStyle name="_Consumidores_Sheet1_Controle_E-Adicionais" xfId="124" xr:uid="{00000000-0005-0000-0000-000077000000}"/>
    <cellStyle name="_Consumidores_Sheet1_E-Adicionais" xfId="125" xr:uid="{00000000-0005-0000-0000-000078000000}"/>
    <cellStyle name="_Consumidores_Sheet1_E-Elevatorias" xfId="126" xr:uid="{00000000-0005-0000-0000-000079000000}"/>
    <cellStyle name="_Consumidores_Sheet1_E-Elevatorias_C-O&amp;M-Esgoto (Col)" xfId="127" xr:uid="{00000000-0005-0000-0000-00007A000000}"/>
    <cellStyle name="_Consumidores_Sheet1_E-Elevatorias_E-Adicionais" xfId="128" xr:uid="{00000000-0005-0000-0000-00007B000000}"/>
    <cellStyle name="_Consumidores_Sheet1_E-ETA-ETE" xfId="129" xr:uid="{00000000-0005-0000-0000-00007C000000}"/>
    <cellStyle name="_Consumidores_Sheet1_E-ETA-ETE_C-O&amp;M-Esgoto (Col)" xfId="130" xr:uid="{00000000-0005-0000-0000-00007D000000}"/>
    <cellStyle name="_Consumidores_Sheet1_E-ETA-ETE_E-Adicionais" xfId="131" xr:uid="{00000000-0005-0000-0000-00007E000000}"/>
    <cellStyle name="_Consumidores_Sheet1_E-Fisicos-Agua (Cap)" xfId="132" xr:uid="{00000000-0005-0000-0000-00007F000000}"/>
    <cellStyle name="_Consumidores_Sheet1_E-Fisicos-Agua (Cap)_C-O&amp;M-Esgoto (Col)" xfId="133" xr:uid="{00000000-0005-0000-0000-000080000000}"/>
    <cellStyle name="_Consumidores_Sheet1_E-Fisicos-Agua (Cap)_E-Adicionais" xfId="134" xr:uid="{00000000-0005-0000-0000-000081000000}"/>
    <cellStyle name="_Consumidores_Sheet1_E-Fisicos-Agua (Dist)" xfId="135" xr:uid="{00000000-0005-0000-0000-000082000000}"/>
    <cellStyle name="_Consumidores_Sheet1_E-Fisicos-Agua (Dist)_C-O&amp;M-Esgoto (Col)" xfId="136" xr:uid="{00000000-0005-0000-0000-000083000000}"/>
    <cellStyle name="_Consumidores_Sheet1_E-Fisicos-Agua (Dist)_E-Adicionais" xfId="137" xr:uid="{00000000-0005-0000-0000-000084000000}"/>
    <cellStyle name="_Consumidores_Sheet1_E-Fisicos-Agua (ETA)" xfId="138" xr:uid="{00000000-0005-0000-0000-000085000000}"/>
    <cellStyle name="_Consumidores_Sheet1_E-Fisicos-Agua (ETA)_C-O&amp;M-Esgoto (Col)" xfId="139" xr:uid="{00000000-0005-0000-0000-000086000000}"/>
    <cellStyle name="_Consumidores_Sheet1_E-Fisicos-Agua (ETA)_E-Adicionais" xfId="140" xr:uid="{00000000-0005-0000-0000-000087000000}"/>
    <cellStyle name="_Consumidores_Sheet1_E-Fisicos-Esgoto (Col)" xfId="141" xr:uid="{00000000-0005-0000-0000-000088000000}"/>
    <cellStyle name="_Consumidores_Sheet1_E-Fisicos-Esgoto (Col)_C-O&amp;M-Esgoto (Col)" xfId="142" xr:uid="{00000000-0005-0000-0000-000089000000}"/>
    <cellStyle name="_Consumidores_Sheet1_E-Fisicos-Esgoto (Col)_E-Adicionais" xfId="143" xr:uid="{00000000-0005-0000-0000-00008A000000}"/>
    <cellStyle name="_Consumidores_Sheet2" xfId="144" xr:uid="{00000000-0005-0000-0000-00008B000000}"/>
    <cellStyle name="_Consumidores_Sheet2_C-O&amp;M-Agua (Cap)" xfId="145" xr:uid="{00000000-0005-0000-0000-00008C000000}"/>
    <cellStyle name="_Consumidores_Sheet2_C-O&amp;M-Agua (Dist)" xfId="146" xr:uid="{00000000-0005-0000-0000-00008D000000}"/>
    <cellStyle name="_Consumidores_Sheet2_C-O&amp;M-Agua (Dist)_C-O&amp;M-Esgoto (Col)" xfId="147" xr:uid="{00000000-0005-0000-0000-00008E000000}"/>
    <cellStyle name="_Consumidores_Sheet2_C-O&amp;M-Agua (Dist)_E-Adicionais" xfId="148" xr:uid="{00000000-0005-0000-0000-00008F000000}"/>
    <cellStyle name="_Consumidores_Sheet2_C-O&amp;M-Agua (ETA)" xfId="149" xr:uid="{00000000-0005-0000-0000-000090000000}"/>
    <cellStyle name="_Consumidores_Sheet2_C-O&amp;M-Esgoto (Col)" xfId="150" xr:uid="{00000000-0005-0000-0000-000091000000}"/>
    <cellStyle name="_Consumidores_Sheet2_C-O&amp;M-Esgoto (Col)_1" xfId="151" xr:uid="{00000000-0005-0000-0000-000092000000}"/>
    <cellStyle name="_Consumidores_Sheet2_C-O&amp;M-Esgoto (Col)_C-O&amp;M-Esgoto (Col)" xfId="152" xr:uid="{00000000-0005-0000-0000-000093000000}"/>
    <cellStyle name="_Consumidores_Sheet2_C-O&amp;M-Esgoto (Col)_E-Adicionais" xfId="153" xr:uid="{00000000-0005-0000-0000-000094000000}"/>
    <cellStyle name="_Consumidores_Sheet2_C-O&amp;M-Esgoto (Emi)" xfId="154" xr:uid="{00000000-0005-0000-0000-000095000000}"/>
    <cellStyle name="_Consumidores_Sheet2_C-O&amp;M-Esgoto (ETE)" xfId="155" xr:uid="{00000000-0005-0000-0000-000096000000}"/>
    <cellStyle name="_Consumidores_Sheet2_Controle" xfId="156" xr:uid="{00000000-0005-0000-0000-000097000000}"/>
    <cellStyle name="_Consumidores_Sheet2_Controle_C-O&amp;M-Esgoto (Col)" xfId="157" xr:uid="{00000000-0005-0000-0000-000098000000}"/>
    <cellStyle name="_Consumidores_Sheet2_Controle_E-Adicionais" xfId="158" xr:uid="{00000000-0005-0000-0000-000099000000}"/>
    <cellStyle name="_Consumidores_Sheet2_E-Adicionais" xfId="159" xr:uid="{00000000-0005-0000-0000-00009A000000}"/>
    <cellStyle name="_Consumidores_Sheet2_E-Elevatorias" xfId="160" xr:uid="{00000000-0005-0000-0000-00009B000000}"/>
    <cellStyle name="_Consumidores_Sheet2_E-Elevatorias_C-O&amp;M-Esgoto (Col)" xfId="161" xr:uid="{00000000-0005-0000-0000-00009C000000}"/>
    <cellStyle name="_Consumidores_Sheet2_E-Elevatorias_E-Adicionais" xfId="162" xr:uid="{00000000-0005-0000-0000-00009D000000}"/>
    <cellStyle name="_Consumidores_Sheet2_E-ETA-ETE" xfId="163" xr:uid="{00000000-0005-0000-0000-00009E000000}"/>
    <cellStyle name="_Consumidores_Sheet2_E-ETA-ETE_C-O&amp;M-Esgoto (Col)" xfId="164" xr:uid="{00000000-0005-0000-0000-00009F000000}"/>
    <cellStyle name="_Consumidores_Sheet2_E-ETA-ETE_E-Adicionais" xfId="165" xr:uid="{00000000-0005-0000-0000-0000A0000000}"/>
    <cellStyle name="_Consumidores_Sheet2_E-Fisicos-Agua (Cap)" xfId="166" xr:uid="{00000000-0005-0000-0000-0000A1000000}"/>
    <cellStyle name="_Consumidores_Sheet2_E-Fisicos-Agua (Cap)_C-O&amp;M-Esgoto (Col)" xfId="167" xr:uid="{00000000-0005-0000-0000-0000A2000000}"/>
    <cellStyle name="_Consumidores_Sheet2_E-Fisicos-Agua (Cap)_E-Adicionais" xfId="168" xr:uid="{00000000-0005-0000-0000-0000A3000000}"/>
    <cellStyle name="_Consumidores_Sheet2_E-Fisicos-Agua (Dist)" xfId="169" xr:uid="{00000000-0005-0000-0000-0000A4000000}"/>
    <cellStyle name="_Consumidores_Sheet2_E-Fisicos-Agua (Dist)_C-O&amp;M-Esgoto (Col)" xfId="170" xr:uid="{00000000-0005-0000-0000-0000A5000000}"/>
    <cellStyle name="_Consumidores_Sheet2_E-Fisicos-Agua (Dist)_E-Adicionais" xfId="171" xr:uid="{00000000-0005-0000-0000-0000A6000000}"/>
    <cellStyle name="_Consumidores_Sheet2_E-Fisicos-Agua (ETA)" xfId="172" xr:uid="{00000000-0005-0000-0000-0000A7000000}"/>
    <cellStyle name="_Consumidores_Sheet2_E-Fisicos-Agua (ETA)_C-O&amp;M-Esgoto (Col)" xfId="173" xr:uid="{00000000-0005-0000-0000-0000A8000000}"/>
    <cellStyle name="_Consumidores_Sheet2_E-Fisicos-Agua (ETA)_E-Adicionais" xfId="174" xr:uid="{00000000-0005-0000-0000-0000A9000000}"/>
    <cellStyle name="_Consumidores_Sheet2_E-Fisicos-Esgoto (Col)" xfId="175" xr:uid="{00000000-0005-0000-0000-0000AA000000}"/>
    <cellStyle name="_Consumidores_Sheet2_E-Fisicos-Esgoto (Col)_C-O&amp;M-Esgoto (Col)" xfId="176" xr:uid="{00000000-0005-0000-0000-0000AB000000}"/>
    <cellStyle name="_Consumidores_Sheet2_E-Fisicos-Esgoto (Col)_E-Adicionais" xfId="177" xr:uid="{00000000-0005-0000-0000-0000AC000000}"/>
    <cellStyle name="_Consumidores_Sheet3" xfId="178" xr:uid="{00000000-0005-0000-0000-0000AD000000}"/>
    <cellStyle name="_Consumidores_Sheet3_C-O&amp;M-Agua (Cap)" xfId="179" xr:uid="{00000000-0005-0000-0000-0000AE000000}"/>
    <cellStyle name="_Consumidores_Sheet3_C-O&amp;M-Agua (Dist)" xfId="180" xr:uid="{00000000-0005-0000-0000-0000AF000000}"/>
    <cellStyle name="_Consumidores_Sheet3_C-O&amp;M-Agua (Dist)_C-O&amp;M-Esgoto (Col)" xfId="181" xr:uid="{00000000-0005-0000-0000-0000B0000000}"/>
    <cellStyle name="_Consumidores_Sheet3_C-O&amp;M-Agua (Dist)_E-Adicionais" xfId="182" xr:uid="{00000000-0005-0000-0000-0000B1000000}"/>
    <cellStyle name="_Consumidores_Sheet3_C-O&amp;M-Agua (ETA)" xfId="183" xr:uid="{00000000-0005-0000-0000-0000B2000000}"/>
    <cellStyle name="_Consumidores_Sheet3_C-O&amp;M-Esgoto (Col)" xfId="184" xr:uid="{00000000-0005-0000-0000-0000B3000000}"/>
    <cellStyle name="_Consumidores_Sheet3_C-O&amp;M-Esgoto (Col)_1" xfId="185" xr:uid="{00000000-0005-0000-0000-0000B4000000}"/>
    <cellStyle name="_Consumidores_Sheet3_C-O&amp;M-Esgoto (Col)_C-O&amp;M-Esgoto (Col)" xfId="186" xr:uid="{00000000-0005-0000-0000-0000B5000000}"/>
    <cellStyle name="_Consumidores_Sheet3_C-O&amp;M-Esgoto (Col)_E-Adicionais" xfId="187" xr:uid="{00000000-0005-0000-0000-0000B6000000}"/>
    <cellStyle name="_Consumidores_Sheet3_C-O&amp;M-Esgoto (Emi)" xfId="188" xr:uid="{00000000-0005-0000-0000-0000B7000000}"/>
    <cellStyle name="_Consumidores_Sheet3_C-O&amp;M-Esgoto (ETE)" xfId="189" xr:uid="{00000000-0005-0000-0000-0000B8000000}"/>
    <cellStyle name="_Consumidores_Sheet3_Controle" xfId="190" xr:uid="{00000000-0005-0000-0000-0000B9000000}"/>
    <cellStyle name="_Consumidores_Sheet3_Controle_C-O&amp;M-Esgoto (Col)" xfId="191" xr:uid="{00000000-0005-0000-0000-0000BA000000}"/>
    <cellStyle name="_Consumidores_Sheet3_Controle_E-Adicionais" xfId="192" xr:uid="{00000000-0005-0000-0000-0000BB000000}"/>
    <cellStyle name="_Consumidores_Sheet3_E-Adicionais" xfId="193" xr:uid="{00000000-0005-0000-0000-0000BC000000}"/>
    <cellStyle name="_Consumidores_Sheet3_E-Elevatorias" xfId="194" xr:uid="{00000000-0005-0000-0000-0000BD000000}"/>
    <cellStyle name="_Consumidores_Sheet3_E-Elevatorias_C-O&amp;M-Esgoto (Col)" xfId="195" xr:uid="{00000000-0005-0000-0000-0000BE000000}"/>
    <cellStyle name="_Consumidores_Sheet3_E-Elevatorias_E-Adicionais" xfId="196" xr:uid="{00000000-0005-0000-0000-0000BF000000}"/>
    <cellStyle name="_Consumidores_Sheet3_E-ETA-ETE" xfId="197" xr:uid="{00000000-0005-0000-0000-0000C0000000}"/>
    <cellStyle name="_Consumidores_Sheet3_E-ETA-ETE_C-O&amp;M-Esgoto (Col)" xfId="198" xr:uid="{00000000-0005-0000-0000-0000C1000000}"/>
    <cellStyle name="_Consumidores_Sheet3_E-ETA-ETE_E-Adicionais" xfId="199" xr:uid="{00000000-0005-0000-0000-0000C2000000}"/>
    <cellStyle name="_Consumidores_Sheet3_E-Fisicos-Agua (Cap)" xfId="200" xr:uid="{00000000-0005-0000-0000-0000C3000000}"/>
    <cellStyle name="_Consumidores_Sheet3_E-Fisicos-Agua (Cap)_C-O&amp;M-Esgoto (Col)" xfId="201" xr:uid="{00000000-0005-0000-0000-0000C4000000}"/>
    <cellStyle name="_Consumidores_Sheet3_E-Fisicos-Agua (Cap)_E-Adicionais" xfId="202" xr:uid="{00000000-0005-0000-0000-0000C5000000}"/>
    <cellStyle name="_Consumidores_Sheet3_E-Fisicos-Agua (Dist)" xfId="203" xr:uid="{00000000-0005-0000-0000-0000C6000000}"/>
    <cellStyle name="_Consumidores_Sheet3_E-Fisicos-Agua (Dist)_C-O&amp;M-Esgoto (Col)" xfId="204" xr:uid="{00000000-0005-0000-0000-0000C7000000}"/>
    <cellStyle name="_Consumidores_Sheet3_E-Fisicos-Agua (Dist)_E-Adicionais" xfId="205" xr:uid="{00000000-0005-0000-0000-0000C8000000}"/>
    <cellStyle name="_Consumidores_Sheet3_E-Fisicos-Agua (ETA)" xfId="206" xr:uid="{00000000-0005-0000-0000-0000C9000000}"/>
    <cellStyle name="_Consumidores_Sheet3_E-Fisicos-Agua (ETA)_C-O&amp;M-Esgoto (Col)" xfId="207" xr:uid="{00000000-0005-0000-0000-0000CA000000}"/>
    <cellStyle name="_Consumidores_Sheet3_E-Fisicos-Agua (ETA)_E-Adicionais" xfId="208" xr:uid="{00000000-0005-0000-0000-0000CB000000}"/>
    <cellStyle name="_Consumidores_Sheet3_E-Fisicos-Esgoto (Col)" xfId="209" xr:uid="{00000000-0005-0000-0000-0000CC000000}"/>
    <cellStyle name="_Consumidores_Sheet3_E-Fisicos-Esgoto (Col)_C-O&amp;M-Esgoto (Col)" xfId="210" xr:uid="{00000000-0005-0000-0000-0000CD000000}"/>
    <cellStyle name="_Consumidores_Sheet3_E-Fisicos-Esgoto (Col)_E-Adicionais" xfId="211" xr:uid="{00000000-0005-0000-0000-0000CE000000}"/>
    <cellStyle name="_LIGHT_2_CICLO_DADOS_INICIAIS" xfId="212" xr:uid="{00000000-0005-0000-0000-0000CF000000}"/>
    <cellStyle name="_LIGHT_2_CICLO_DADOS_INICIAIS_C-O&amp;M-Esgoto (Col)" xfId="213" xr:uid="{00000000-0005-0000-0000-0000D0000000}"/>
    <cellStyle name="_LIGHT_2_CICLO_DADOS_INICIAIS_E-Adicionais" xfId="214" xr:uid="{00000000-0005-0000-0000-0000D1000000}"/>
    <cellStyle name="_Regra 2008_Modelo ELPA_Dados ELPA_2MAR2009" xfId="215" xr:uid="{00000000-0005-0000-0000-0000D2000000}"/>
    <cellStyle name="=C:\WINNT\SYSTEM32\COMMAND.COM" xfId="216" xr:uid="{00000000-0005-0000-0000-0000D3000000}"/>
    <cellStyle name="1o.nível" xfId="217" xr:uid="{00000000-0005-0000-0000-0000D4000000}"/>
    <cellStyle name="20% - Accent1 2" xfId="322" xr:uid="{00000000-0005-0000-0000-0000D5000000}"/>
    <cellStyle name="20% - Accent2 2" xfId="323" xr:uid="{00000000-0005-0000-0000-0000D6000000}"/>
    <cellStyle name="20% - Accent3 2" xfId="324" xr:uid="{00000000-0005-0000-0000-0000D7000000}"/>
    <cellStyle name="20% - Accent4 2" xfId="325" xr:uid="{00000000-0005-0000-0000-0000D8000000}"/>
    <cellStyle name="20% - Accent5 2" xfId="326" xr:uid="{00000000-0005-0000-0000-0000D9000000}"/>
    <cellStyle name="20% - Accent6 2" xfId="327" xr:uid="{00000000-0005-0000-0000-0000DA000000}"/>
    <cellStyle name="20% - Ênfase1" xfId="328" xr:uid="{00000000-0005-0000-0000-0000DB000000}"/>
    <cellStyle name="20% - Ênfase2" xfId="329" xr:uid="{00000000-0005-0000-0000-0000DC000000}"/>
    <cellStyle name="20% - Ênfase3" xfId="330" xr:uid="{00000000-0005-0000-0000-0000DD000000}"/>
    <cellStyle name="20% - Ênfase4" xfId="331" xr:uid="{00000000-0005-0000-0000-0000DE000000}"/>
    <cellStyle name="20% - Ênfase5" xfId="332" xr:uid="{00000000-0005-0000-0000-0000DF000000}"/>
    <cellStyle name="20% - Ênfase6" xfId="333" xr:uid="{00000000-0005-0000-0000-0000E0000000}"/>
    <cellStyle name="2o.nível" xfId="218" xr:uid="{00000000-0005-0000-0000-0000E1000000}"/>
    <cellStyle name="40% - Accent1 2" xfId="334" xr:uid="{00000000-0005-0000-0000-0000E2000000}"/>
    <cellStyle name="40% - Accent2 2" xfId="335" xr:uid="{00000000-0005-0000-0000-0000E3000000}"/>
    <cellStyle name="40% - Accent3 2" xfId="336" xr:uid="{00000000-0005-0000-0000-0000E4000000}"/>
    <cellStyle name="40% - Accent4 2" xfId="337" xr:uid="{00000000-0005-0000-0000-0000E5000000}"/>
    <cellStyle name="40% - Accent5 2" xfId="338" xr:uid="{00000000-0005-0000-0000-0000E6000000}"/>
    <cellStyle name="40% - Accent6 2" xfId="339" xr:uid="{00000000-0005-0000-0000-0000E7000000}"/>
    <cellStyle name="40% - Ênfase1" xfId="340" xr:uid="{00000000-0005-0000-0000-0000E8000000}"/>
    <cellStyle name="40% - Ênfase2" xfId="341" xr:uid="{00000000-0005-0000-0000-0000E9000000}"/>
    <cellStyle name="40% - Ênfase3" xfId="342" xr:uid="{00000000-0005-0000-0000-0000EA000000}"/>
    <cellStyle name="40% - Ênfase4" xfId="343" xr:uid="{00000000-0005-0000-0000-0000EB000000}"/>
    <cellStyle name="40% - Ênfase5" xfId="344" xr:uid="{00000000-0005-0000-0000-0000EC000000}"/>
    <cellStyle name="40% - Ênfase6" xfId="345" xr:uid="{00000000-0005-0000-0000-0000ED000000}"/>
    <cellStyle name="60% - Accent1 2" xfId="346" xr:uid="{00000000-0005-0000-0000-0000EE000000}"/>
    <cellStyle name="60% - Accent2 2" xfId="347" xr:uid="{00000000-0005-0000-0000-0000EF000000}"/>
    <cellStyle name="60% - Accent3 2" xfId="348" xr:uid="{00000000-0005-0000-0000-0000F0000000}"/>
    <cellStyle name="60% - Accent4 2" xfId="349" xr:uid="{00000000-0005-0000-0000-0000F1000000}"/>
    <cellStyle name="60% - Accent5 2" xfId="350" xr:uid="{00000000-0005-0000-0000-0000F2000000}"/>
    <cellStyle name="60% - Accent6 2" xfId="351" xr:uid="{00000000-0005-0000-0000-0000F3000000}"/>
    <cellStyle name="60% - Ênfase1" xfId="352" xr:uid="{00000000-0005-0000-0000-0000F4000000}"/>
    <cellStyle name="60% - Ênfase2" xfId="353" xr:uid="{00000000-0005-0000-0000-0000F5000000}"/>
    <cellStyle name="60% - Ênfase3" xfId="354" xr:uid="{00000000-0005-0000-0000-0000F6000000}"/>
    <cellStyle name="60% - Ênfase4" xfId="355" xr:uid="{00000000-0005-0000-0000-0000F7000000}"/>
    <cellStyle name="60% - Ênfase5" xfId="356" xr:uid="{00000000-0005-0000-0000-0000F8000000}"/>
    <cellStyle name="60% - Ênfase6" xfId="357" xr:uid="{00000000-0005-0000-0000-0000F9000000}"/>
    <cellStyle name="A3 297 x 420 mm" xfId="219" xr:uid="{00000000-0005-0000-0000-0000FA000000}"/>
    <cellStyle name="Accent1 2" xfId="358" xr:uid="{00000000-0005-0000-0000-0000FB000000}"/>
    <cellStyle name="Accent2 2" xfId="359" xr:uid="{00000000-0005-0000-0000-0000FC000000}"/>
    <cellStyle name="Accent3 2" xfId="360" xr:uid="{00000000-0005-0000-0000-0000FD000000}"/>
    <cellStyle name="Accent4 2" xfId="361" xr:uid="{00000000-0005-0000-0000-0000FE000000}"/>
    <cellStyle name="Accent5 2" xfId="362" xr:uid="{00000000-0005-0000-0000-0000FF000000}"/>
    <cellStyle name="Accent6 2" xfId="363" xr:uid="{00000000-0005-0000-0000-000000010000}"/>
    <cellStyle name="Actual Date" xfId="220" xr:uid="{00000000-0005-0000-0000-000001010000}"/>
    <cellStyle name="AFE" xfId="221" xr:uid="{00000000-0005-0000-0000-000002010000}"/>
    <cellStyle name="AFE 2" xfId="222" xr:uid="{00000000-0005-0000-0000-000003010000}"/>
    <cellStyle name="AFE 3" xfId="223" xr:uid="{00000000-0005-0000-0000-000004010000}"/>
    <cellStyle name="AFE_C-O&amp;M-Esgoto (Col)" xfId="224" xr:uid="{00000000-0005-0000-0000-000005010000}"/>
    <cellStyle name="Amarelo%" xfId="225" xr:uid="{00000000-0005-0000-0000-000006010000}"/>
    <cellStyle name="Amarelocot" xfId="226" xr:uid="{00000000-0005-0000-0000-000007010000}"/>
    <cellStyle name="Bad 2" xfId="364" xr:uid="{00000000-0005-0000-0000-000008010000}"/>
    <cellStyle name="Body" xfId="227" xr:uid="{00000000-0005-0000-0000-000009010000}"/>
    <cellStyle name="Bol-Data" xfId="228" xr:uid="{00000000-0005-0000-0000-00000A010000}"/>
    <cellStyle name="bolet" xfId="229" xr:uid="{00000000-0005-0000-0000-00000B010000}"/>
    <cellStyle name="Cabe‡alho 1" xfId="230" xr:uid="{00000000-0005-0000-0000-00000C010000}"/>
    <cellStyle name="Cabe‡alho 1 2" xfId="407" xr:uid="{00000000-0005-0000-0000-00000D010000}"/>
    <cellStyle name="Cabe‡alho 1 2 2" xfId="493" xr:uid="{00000000-0005-0000-0000-00000E010000}"/>
    <cellStyle name="Cabe‡alho 2" xfId="231" xr:uid="{00000000-0005-0000-0000-00000F010000}"/>
    <cellStyle name="Cabe‡alho 2 2" xfId="408" xr:uid="{00000000-0005-0000-0000-000010010000}"/>
    <cellStyle name="Cabe‡alho 2 2 2" xfId="494" xr:uid="{00000000-0005-0000-0000-000011010000}"/>
    <cellStyle name="CABEÇALHO" xfId="232" xr:uid="{00000000-0005-0000-0000-000012010000}"/>
    <cellStyle name="CABEÇALHO2" xfId="233" xr:uid="{00000000-0005-0000-0000-000013010000}"/>
    <cellStyle name="Calculation 2" xfId="365" xr:uid="{00000000-0005-0000-0000-000014010000}"/>
    <cellStyle name="Calculation 2 2" xfId="460" xr:uid="{00000000-0005-0000-0000-000015010000}"/>
    <cellStyle name="Calculation 3" xfId="321" xr:uid="{00000000-0005-0000-0000-000016010000}"/>
    <cellStyle name="Calculation 3 2" xfId="459" xr:uid="{00000000-0005-0000-0000-000017010000}"/>
    <cellStyle name="Cálculo" xfId="366" xr:uid="{00000000-0005-0000-0000-000018010000}"/>
    <cellStyle name="Cálculo 2" xfId="320" xr:uid="{00000000-0005-0000-0000-000019010000}"/>
    <cellStyle name="Cálculo 2 2" xfId="458" xr:uid="{00000000-0005-0000-0000-00001A010000}"/>
    <cellStyle name="Cálculo 3" xfId="461" xr:uid="{00000000-0005-0000-0000-00001B010000}"/>
    <cellStyle name="Comma  - Style1" xfId="234" xr:uid="{00000000-0005-0000-0000-00001C010000}"/>
    <cellStyle name="Comma 10" xfId="432" xr:uid="{00000000-0005-0000-0000-00001D010000}"/>
    <cellStyle name="Comma 10 2" xfId="495" xr:uid="{00000000-0005-0000-0000-00001E010000}"/>
    <cellStyle name="Comma 11" xfId="434" xr:uid="{00000000-0005-0000-0000-00001F010000}"/>
    <cellStyle name="Comma 11 2" xfId="496" xr:uid="{00000000-0005-0000-0000-000020010000}"/>
    <cellStyle name="Comma 12" xfId="436" xr:uid="{00000000-0005-0000-0000-000021010000}"/>
    <cellStyle name="Comma 12 2" xfId="497" xr:uid="{00000000-0005-0000-0000-000022010000}"/>
    <cellStyle name="Comma 13" xfId="438" xr:uid="{00000000-0005-0000-0000-000023010000}"/>
    <cellStyle name="Comma 13 2" xfId="498" xr:uid="{00000000-0005-0000-0000-000024010000}"/>
    <cellStyle name="Comma 14" xfId="440" xr:uid="{00000000-0005-0000-0000-000025010000}"/>
    <cellStyle name="Comma 14 2" xfId="499" xr:uid="{00000000-0005-0000-0000-000026010000}"/>
    <cellStyle name="Comma 15" xfId="442" xr:uid="{00000000-0005-0000-0000-000027010000}"/>
    <cellStyle name="Comma 15 2" xfId="500" xr:uid="{00000000-0005-0000-0000-000028010000}"/>
    <cellStyle name="Comma 16" xfId="443" xr:uid="{00000000-0005-0000-0000-000029010000}"/>
    <cellStyle name="Comma 16 2" xfId="501" xr:uid="{00000000-0005-0000-0000-00002A010000}"/>
    <cellStyle name="Comma 17" xfId="444" xr:uid="{00000000-0005-0000-0000-00002B010000}"/>
    <cellStyle name="Comma 17 2" xfId="502" xr:uid="{00000000-0005-0000-0000-00002C010000}"/>
    <cellStyle name="Comma 18" xfId="456" xr:uid="{00000000-0005-0000-0000-00002D010000}"/>
    <cellStyle name="Comma 18 2" xfId="503" xr:uid="{00000000-0005-0000-0000-00002E010000}"/>
    <cellStyle name="Comma 19" xfId="474" xr:uid="{00000000-0005-0000-0000-00002F010000}"/>
    <cellStyle name="Comma 19 2" xfId="504" xr:uid="{00000000-0005-0000-0000-000030010000}"/>
    <cellStyle name="Comma 2" xfId="235" xr:uid="{00000000-0005-0000-0000-000031010000}"/>
    <cellStyle name="Comma 2 2" xfId="315" xr:uid="{00000000-0005-0000-0000-000032010000}"/>
    <cellStyle name="Comma 2 2 2" xfId="457" xr:uid="{00000000-0005-0000-0000-000033010000}"/>
    <cellStyle name="Comma 2 2 2 2" xfId="505" xr:uid="{00000000-0005-0000-0000-000034010000}"/>
    <cellStyle name="Comma 2 3" xfId="447" xr:uid="{00000000-0005-0000-0000-000035010000}"/>
    <cellStyle name="Comma 2 3 2" xfId="506" xr:uid="{00000000-0005-0000-0000-000036010000}"/>
    <cellStyle name="Comma 20" xfId="475" xr:uid="{00000000-0005-0000-0000-000037010000}"/>
    <cellStyle name="Comma 20 2" xfId="507" xr:uid="{00000000-0005-0000-0000-000038010000}"/>
    <cellStyle name="Comma 21" xfId="473" xr:uid="{00000000-0005-0000-0000-000039010000}"/>
    <cellStyle name="Comma 21 2" xfId="508" xr:uid="{00000000-0005-0000-0000-00003A010000}"/>
    <cellStyle name="Comma 22" xfId="476" xr:uid="{00000000-0005-0000-0000-00003B010000}"/>
    <cellStyle name="Comma 22 2" xfId="509" xr:uid="{00000000-0005-0000-0000-00003C010000}"/>
    <cellStyle name="Comma 3" xfId="236" xr:uid="{00000000-0005-0000-0000-00003D010000}"/>
    <cellStyle name="Comma 3 2" xfId="448" xr:uid="{00000000-0005-0000-0000-00003E010000}"/>
    <cellStyle name="Comma 3 2 2" xfId="510" xr:uid="{00000000-0005-0000-0000-00003F010000}"/>
    <cellStyle name="Comma 4" xfId="237" xr:uid="{00000000-0005-0000-0000-000040010000}"/>
    <cellStyle name="Comma 4 2" xfId="449" xr:uid="{00000000-0005-0000-0000-000041010000}"/>
    <cellStyle name="Comma 4 2 2" xfId="511" xr:uid="{00000000-0005-0000-0000-000042010000}"/>
    <cellStyle name="Comma 5" xfId="393" xr:uid="{00000000-0005-0000-0000-000043010000}"/>
    <cellStyle name="Comma 5 2" xfId="465" xr:uid="{00000000-0005-0000-0000-000044010000}"/>
    <cellStyle name="Comma 5 2 2" xfId="512" xr:uid="{00000000-0005-0000-0000-000045010000}"/>
    <cellStyle name="Comma 6" xfId="399" xr:uid="{00000000-0005-0000-0000-000046010000}"/>
    <cellStyle name="Comma 6 2" xfId="470" xr:uid="{00000000-0005-0000-0000-000047010000}"/>
    <cellStyle name="Comma 6 2 2" xfId="513" xr:uid="{00000000-0005-0000-0000-000048010000}"/>
    <cellStyle name="Comma 7" xfId="426" xr:uid="{00000000-0005-0000-0000-000049010000}"/>
    <cellStyle name="Comma 7 2" xfId="514" xr:uid="{00000000-0005-0000-0000-00004A010000}"/>
    <cellStyle name="Comma 8" xfId="428" xr:uid="{00000000-0005-0000-0000-00004B010000}"/>
    <cellStyle name="Comma 8 2" xfId="515" xr:uid="{00000000-0005-0000-0000-00004C010000}"/>
    <cellStyle name="Comma 9" xfId="430" xr:uid="{00000000-0005-0000-0000-00004D010000}"/>
    <cellStyle name="Comma 9 2" xfId="516" xr:uid="{00000000-0005-0000-0000-00004E010000}"/>
    <cellStyle name="Comma0" xfId="238" xr:uid="{00000000-0005-0000-0000-00004F010000}"/>
    <cellStyle name="Conferência" xfId="239" xr:uid="{00000000-0005-0000-0000-000050010000}"/>
    <cellStyle name="Conferência 2" xfId="409" xr:uid="{00000000-0005-0000-0000-000051010000}"/>
    <cellStyle name="Conferência 2 2" xfId="517" xr:uid="{00000000-0005-0000-0000-000052010000}"/>
    <cellStyle name="Curren - Style2" xfId="240" xr:uid="{00000000-0005-0000-0000-000053010000}"/>
    <cellStyle name="Currency 2" xfId="445" xr:uid="{00000000-0005-0000-0000-000054010000}"/>
    <cellStyle name="Currency 2 2" xfId="518" xr:uid="{00000000-0005-0000-0000-000055010000}"/>
    <cellStyle name="Currency0" xfId="241" xr:uid="{00000000-0005-0000-0000-000056010000}"/>
    <cellStyle name="Data" xfId="242" xr:uid="{00000000-0005-0000-0000-000057010000}"/>
    <cellStyle name="Data 2" xfId="410" xr:uid="{00000000-0005-0000-0000-000058010000}"/>
    <cellStyle name="Data 2 2" xfId="519" xr:uid="{00000000-0005-0000-0000-000059010000}"/>
    <cellStyle name="Date" xfId="243" xr:uid="{00000000-0005-0000-0000-00005A010000}"/>
    <cellStyle name="Ênfase1" xfId="367" xr:uid="{00000000-0005-0000-0000-00005B010000}"/>
    <cellStyle name="Ênfase2" xfId="368" xr:uid="{00000000-0005-0000-0000-00005C010000}"/>
    <cellStyle name="Ênfase3" xfId="369" xr:uid="{00000000-0005-0000-0000-00005D010000}"/>
    <cellStyle name="Ênfase4" xfId="370" xr:uid="{00000000-0005-0000-0000-00005E010000}"/>
    <cellStyle name="Ênfase5" xfId="371" xr:uid="{00000000-0005-0000-0000-00005F010000}"/>
    <cellStyle name="Ênfase6" xfId="372" xr:uid="{00000000-0005-0000-0000-000060010000}"/>
    <cellStyle name="Estilo 1" xfId="244" xr:uid="{00000000-0005-0000-0000-000061010000}"/>
    <cellStyle name="Estilo 1 2" xfId="373" xr:uid="{00000000-0005-0000-0000-000062010000}"/>
    <cellStyle name="Euro" xfId="245" xr:uid="{00000000-0005-0000-0000-000063010000}"/>
    <cellStyle name="Explanatory Text 2" xfId="374" xr:uid="{00000000-0005-0000-0000-000064010000}"/>
    <cellStyle name="FIELD" xfId="246" xr:uid="{00000000-0005-0000-0000-000065010000}"/>
    <cellStyle name="Fixed" xfId="247" xr:uid="{00000000-0005-0000-0000-000066010000}"/>
    <cellStyle name="Fixo" xfId="248" xr:uid="{00000000-0005-0000-0000-000067010000}"/>
    <cellStyle name="Fixo 2" xfId="411" xr:uid="{00000000-0005-0000-0000-000068010000}"/>
    <cellStyle name="Fixo 2 2" xfId="520" xr:uid="{00000000-0005-0000-0000-000069010000}"/>
    <cellStyle name="fundoamarelo" xfId="249" xr:uid="{00000000-0005-0000-0000-00006A010000}"/>
    <cellStyle name="fundoazul" xfId="250" xr:uid="{00000000-0005-0000-0000-00006B010000}"/>
    <cellStyle name="fundocinza" xfId="251" xr:uid="{00000000-0005-0000-0000-00006C010000}"/>
    <cellStyle name="fundodeentrada" xfId="252" xr:uid="{00000000-0005-0000-0000-00006D010000}"/>
    <cellStyle name="fundodeentrada 2" xfId="394" xr:uid="{00000000-0005-0000-0000-00006E010000}"/>
    <cellStyle name="fundodeentrada 2 2" xfId="466" xr:uid="{00000000-0005-0000-0000-00006F010000}"/>
    <cellStyle name="fundodeentrada 3" xfId="450" xr:uid="{00000000-0005-0000-0000-000070010000}"/>
    <cellStyle name="fundoentrada" xfId="253" xr:uid="{00000000-0005-0000-0000-000071010000}"/>
    <cellStyle name="Grey" xfId="254" xr:uid="{00000000-0005-0000-0000-000072010000}"/>
    <cellStyle name="HEADER" xfId="255" xr:uid="{00000000-0005-0000-0000-000073010000}"/>
    <cellStyle name="Header1" xfId="256" xr:uid="{00000000-0005-0000-0000-000074010000}"/>
    <cellStyle name="Header2" xfId="257" xr:uid="{00000000-0005-0000-0000-000075010000}"/>
    <cellStyle name="Header2 2" xfId="412" xr:uid="{00000000-0005-0000-0000-000076010000}"/>
    <cellStyle name="Header2 2 2" xfId="521" xr:uid="{00000000-0005-0000-0000-000077010000}"/>
    <cellStyle name="Header2 3" xfId="451" xr:uid="{00000000-0005-0000-0000-000078010000}"/>
    <cellStyle name="Heading 1 2" xfId="375" xr:uid="{00000000-0005-0000-0000-000079010000}"/>
    <cellStyle name="Heading 2 2" xfId="376" xr:uid="{00000000-0005-0000-0000-00007A010000}"/>
    <cellStyle name="Heading 3 2" xfId="377" xr:uid="{00000000-0005-0000-0000-00007B010000}"/>
    <cellStyle name="Heading 4 2" xfId="378" xr:uid="{00000000-0005-0000-0000-00007C010000}"/>
    <cellStyle name="Heading1" xfId="258" xr:uid="{00000000-0005-0000-0000-00007D010000}"/>
    <cellStyle name="Heading2" xfId="259" xr:uid="{00000000-0005-0000-0000-00007E010000}"/>
    <cellStyle name="HIGHLIGHT" xfId="260" xr:uid="{00000000-0005-0000-0000-00007F010000}"/>
    <cellStyle name="Hiperlink" xfId="540" builtinId="8"/>
    <cellStyle name="Hiperlink 2" xfId="479" xr:uid="{00000000-0005-0000-0000-000081010000}"/>
    <cellStyle name="Hyperlink 2" xfId="261" xr:uid="{00000000-0005-0000-0000-000082010000}"/>
    <cellStyle name="Incorreto" xfId="379" xr:uid="{00000000-0005-0000-0000-000083010000}"/>
    <cellStyle name="Indefinido" xfId="262" xr:uid="{00000000-0005-0000-0000-000084010000}"/>
    <cellStyle name="Input [yellow]" xfId="263" xr:uid="{00000000-0005-0000-0000-000085010000}"/>
    <cellStyle name="Millares [0]_Hoja1" xfId="264" xr:uid="{00000000-0005-0000-0000-000086010000}"/>
    <cellStyle name="Millares_CLIENTES" xfId="265" xr:uid="{00000000-0005-0000-0000-000087010000}"/>
    <cellStyle name="Moeda" xfId="2" builtinId="4"/>
    <cellStyle name="Moeda 2" xfId="266" xr:uid="{00000000-0005-0000-0000-000089010000}"/>
    <cellStyle name="Moeda 3" xfId="539" xr:uid="{00000000-0005-0000-0000-00008A010000}"/>
    <cellStyle name="Moeda0" xfId="267" xr:uid="{00000000-0005-0000-0000-00008B010000}"/>
    <cellStyle name="Moeda0 2" xfId="413" xr:uid="{00000000-0005-0000-0000-00008C010000}"/>
    <cellStyle name="Moeda0 2 2" xfId="522" xr:uid="{00000000-0005-0000-0000-00008D010000}"/>
    <cellStyle name="Moneda [0]_Hoja1" xfId="268" xr:uid="{00000000-0005-0000-0000-00008E010000}"/>
    <cellStyle name="Moneda_CEB Despesas Op 17 05 04" xfId="269" xr:uid="{00000000-0005-0000-0000-00008F010000}"/>
    <cellStyle name="movimentação" xfId="270" xr:uid="{00000000-0005-0000-0000-000090010000}"/>
    <cellStyle name="movimentação 2" xfId="414" xr:uid="{00000000-0005-0000-0000-000091010000}"/>
    <cellStyle name="movimentação 2 2" xfId="523" xr:uid="{00000000-0005-0000-0000-000092010000}"/>
    <cellStyle name="movimentação 3" xfId="406" xr:uid="{00000000-0005-0000-0000-000093010000}"/>
    <cellStyle name="movimentação 3 2" xfId="524" xr:uid="{00000000-0005-0000-0000-000094010000}"/>
    <cellStyle name="movimentação 4" xfId="446" xr:uid="{00000000-0005-0000-0000-000095010000}"/>
    <cellStyle name="movimentação 4 2" xfId="525" xr:uid="{00000000-0005-0000-0000-000096010000}"/>
    <cellStyle name="no dec" xfId="271" xr:uid="{00000000-0005-0000-0000-000097010000}"/>
    <cellStyle name="Normal" xfId="0" builtinId="0"/>
    <cellStyle name="Normal - Style1" xfId="272" xr:uid="{00000000-0005-0000-0000-000099010000}"/>
    <cellStyle name="Normal - Style1 10" xfId="471" xr:uid="{00000000-0005-0000-0000-00009A010000}"/>
    <cellStyle name="Normal - Style1 2 2" xfId="316" xr:uid="{00000000-0005-0000-0000-00009B010000}"/>
    <cellStyle name="Normal (%)" xfId="273" xr:uid="{00000000-0005-0000-0000-00009C010000}"/>
    <cellStyle name="Normal (No)" xfId="274" xr:uid="{00000000-0005-0000-0000-00009D010000}"/>
    <cellStyle name="Normal 10" xfId="319" xr:uid="{00000000-0005-0000-0000-00009E010000}"/>
    <cellStyle name="Normal 11" xfId="392" xr:uid="{00000000-0005-0000-0000-00009F010000}"/>
    <cellStyle name="Normal 12" xfId="275" xr:uid="{00000000-0005-0000-0000-0000A0010000}"/>
    <cellStyle name="Normal 13" xfId="400" xr:uid="{00000000-0005-0000-0000-0000A1010000}"/>
    <cellStyle name="Normal 14" xfId="423" xr:uid="{00000000-0005-0000-0000-0000A2010000}"/>
    <cellStyle name="Normal 15" xfId="427" xr:uid="{00000000-0005-0000-0000-0000A3010000}"/>
    <cellStyle name="Normal 16" xfId="429" xr:uid="{00000000-0005-0000-0000-0000A4010000}"/>
    <cellStyle name="Normal 17" xfId="431" xr:uid="{00000000-0005-0000-0000-0000A5010000}"/>
    <cellStyle name="Normal 18" xfId="433" xr:uid="{00000000-0005-0000-0000-0000A6010000}"/>
    <cellStyle name="Normal 19" xfId="435" xr:uid="{00000000-0005-0000-0000-0000A7010000}"/>
    <cellStyle name="Normal 2" xfId="4" xr:uid="{00000000-0005-0000-0000-0000A8010000}"/>
    <cellStyle name="Normal 2 15" xfId="492" xr:uid="{00000000-0005-0000-0000-0000A9010000}"/>
    <cellStyle name="Normal 2 15 2 4" xfId="490" xr:uid="{00000000-0005-0000-0000-0000AA010000}"/>
    <cellStyle name="Normal 2 15 7" xfId="487" xr:uid="{00000000-0005-0000-0000-0000AB010000}"/>
    <cellStyle name="Normal 2 2" xfId="318" xr:uid="{00000000-0005-0000-0000-0000AC010000}"/>
    <cellStyle name="Normal 2 22" xfId="489" xr:uid="{00000000-0005-0000-0000-0000AD010000}"/>
    <cellStyle name="Normal 2 3" xfId="481" xr:uid="{00000000-0005-0000-0000-0000AE010000}"/>
    <cellStyle name="Normal 2 3 7" xfId="276" xr:uid="{00000000-0005-0000-0000-0000AF010000}"/>
    <cellStyle name="Normal 2 4" xfId="484" xr:uid="{00000000-0005-0000-0000-0000B0010000}"/>
    <cellStyle name="Normal 20" xfId="437" xr:uid="{00000000-0005-0000-0000-0000B1010000}"/>
    <cellStyle name="Normal 21" xfId="439" xr:uid="{00000000-0005-0000-0000-0000B2010000}"/>
    <cellStyle name="Normal 22" xfId="441" xr:uid="{00000000-0005-0000-0000-0000B3010000}"/>
    <cellStyle name="Normal 23" xfId="477" xr:uid="{00000000-0005-0000-0000-0000B4010000}"/>
    <cellStyle name="Normal 23 2" xfId="526" xr:uid="{00000000-0005-0000-0000-0000B5010000}"/>
    <cellStyle name="Normal 3" xfId="277" xr:uid="{00000000-0005-0000-0000-0000B6010000}"/>
    <cellStyle name="Normal 3 2" xfId="278" xr:uid="{00000000-0005-0000-0000-0000B7010000}"/>
    <cellStyle name="Normal 4" xfId="279" xr:uid="{00000000-0005-0000-0000-0000B8010000}"/>
    <cellStyle name="Normal 5" xfId="280" xr:uid="{00000000-0005-0000-0000-0000B9010000}"/>
    <cellStyle name="Normal 6" xfId="281" xr:uid="{00000000-0005-0000-0000-0000BA010000}"/>
    <cellStyle name="Normal 7" xfId="282" xr:uid="{00000000-0005-0000-0000-0000BB010000}"/>
    <cellStyle name="Normal 8" xfId="283" xr:uid="{00000000-0005-0000-0000-0000BC010000}"/>
    <cellStyle name="Normal 8 2" xfId="488" xr:uid="{00000000-0005-0000-0000-0000BD010000}"/>
    <cellStyle name="Normal 9" xfId="284" xr:uid="{00000000-0005-0000-0000-0000BE010000}"/>
    <cellStyle name="Output 2" xfId="380" xr:uid="{00000000-0005-0000-0000-0000BF010000}"/>
    <cellStyle name="Output 2 2" xfId="462" xr:uid="{00000000-0005-0000-0000-0000C0010000}"/>
    <cellStyle name="Output 3" xfId="395" xr:uid="{00000000-0005-0000-0000-0000C1010000}"/>
    <cellStyle name="Output 3 2" xfId="467" xr:uid="{00000000-0005-0000-0000-0000C2010000}"/>
    <cellStyle name="Percent [2]" xfId="285" xr:uid="{00000000-0005-0000-0000-0000C3010000}"/>
    <cellStyle name="Percent 10" xfId="403" xr:uid="{00000000-0005-0000-0000-0000C4010000}"/>
    <cellStyle name="Percent 11" xfId="417" xr:uid="{00000000-0005-0000-0000-0000C5010000}"/>
    <cellStyle name="Percent 12" xfId="402" xr:uid="{00000000-0005-0000-0000-0000C6010000}"/>
    <cellStyle name="Percent 13" xfId="418" xr:uid="{00000000-0005-0000-0000-0000C7010000}"/>
    <cellStyle name="Percent 14" xfId="401" xr:uid="{00000000-0005-0000-0000-0000C8010000}"/>
    <cellStyle name="Percent 2" xfId="286" xr:uid="{00000000-0005-0000-0000-0000C9010000}"/>
    <cellStyle name="Percent 2 2" xfId="317" xr:uid="{00000000-0005-0000-0000-0000CA010000}"/>
    <cellStyle name="Percent 3" xfId="381" xr:uid="{00000000-0005-0000-0000-0000CB010000}"/>
    <cellStyle name="Percent 4" xfId="396" xr:uid="{00000000-0005-0000-0000-0000CC010000}"/>
    <cellStyle name="Percent 5" xfId="419" xr:uid="{00000000-0005-0000-0000-0000CD010000}"/>
    <cellStyle name="Percent 6" xfId="405" xr:uid="{00000000-0005-0000-0000-0000CE010000}"/>
    <cellStyle name="Percent 7" xfId="415" xr:uid="{00000000-0005-0000-0000-0000CF010000}"/>
    <cellStyle name="Percent 8" xfId="404" xr:uid="{00000000-0005-0000-0000-0000D0010000}"/>
    <cellStyle name="Percent 9" xfId="416" xr:uid="{00000000-0005-0000-0000-0000D1010000}"/>
    <cellStyle name="Porcentagem" xfId="3" builtinId="5"/>
    <cellStyle name="Porcentagem 2" xfId="287" xr:uid="{00000000-0005-0000-0000-0000D3010000}"/>
    <cellStyle name="Porcentagem 3" xfId="288" xr:uid="{00000000-0005-0000-0000-0000D4010000}"/>
    <cellStyle name="Porcentagem 3 2" xfId="485" xr:uid="{00000000-0005-0000-0000-0000D5010000}"/>
    <cellStyle name="Porcentagem 4" xfId="538" xr:uid="{00000000-0005-0000-0000-0000D6010000}"/>
    <cellStyle name="Porcentagem 5" xfId="289" xr:uid="{00000000-0005-0000-0000-0000D7010000}"/>
    <cellStyle name="Porcentual_CLIENTES" xfId="290" xr:uid="{00000000-0005-0000-0000-0000D8010000}"/>
    <cellStyle name="Premissas" xfId="291" xr:uid="{00000000-0005-0000-0000-0000D9010000}"/>
    <cellStyle name="Projeções" xfId="292" xr:uid="{00000000-0005-0000-0000-0000DA010000}"/>
    <cellStyle name="Saída" xfId="382" xr:uid="{00000000-0005-0000-0000-0000DB010000}"/>
    <cellStyle name="Saída 2" xfId="397" xr:uid="{00000000-0005-0000-0000-0000DC010000}"/>
    <cellStyle name="Saída 2 2" xfId="468" xr:uid="{00000000-0005-0000-0000-0000DD010000}"/>
    <cellStyle name="Saída 3" xfId="463" xr:uid="{00000000-0005-0000-0000-0000DE010000}"/>
    <cellStyle name="Sep. milhar [0]" xfId="293" xr:uid="{00000000-0005-0000-0000-0000DF010000}"/>
    <cellStyle name="Separador de m" xfId="294" xr:uid="{00000000-0005-0000-0000-0000E0010000}"/>
    <cellStyle name="Separador de m 2" xfId="420" xr:uid="{00000000-0005-0000-0000-0000E1010000}"/>
    <cellStyle name="Separador de m 2 2" xfId="527" xr:uid="{00000000-0005-0000-0000-0000E2010000}"/>
    <cellStyle name="Separador de milhares 2" xfId="295" xr:uid="{00000000-0005-0000-0000-0000E3010000}"/>
    <cellStyle name="Separador de milhares 2 2" xfId="296" xr:uid="{00000000-0005-0000-0000-0000E4010000}"/>
    <cellStyle name="Separador de milhares 2 2 2" xfId="453" xr:uid="{00000000-0005-0000-0000-0000E5010000}"/>
    <cellStyle name="Separador de milhares 2 2 2 2" xfId="528" xr:uid="{00000000-0005-0000-0000-0000E6010000}"/>
    <cellStyle name="Separador de milhares 2 2 3" xfId="491" xr:uid="{00000000-0005-0000-0000-0000E7010000}"/>
    <cellStyle name="Separador de milhares 2 3" xfId="297" xr:uid="{00000000-0005-0000-0000-0000E8010000}"/>
    <cellStyle name="Separador de milhares 2 3 2" xfId="454" xr:uid="{00000000-0005-0000-0000-0000E9010000}"/>
    <cellStyle name="Separador de milhares 2 3 2 2" xfId="529" xr:uid="{00000000-0005-0000-0000-0000EA010000}"/>
    <cellStyle name="Separador de milhares 2 4" xfId="421" xr:uid="{00000000-0005-0000-0000-0000EB010000}"/>
    <cellStyle name="Separador de milhares 2 4 2" xfId="530" xr:uid="{00000000-0005-0000-0000-0000EC010000}"/>
    <cellStyle name="Separador de milhares 2 5" xfId="452" xr:uid="{00000000-0005-0000-0000-0000ED010000}"/>
    <cellStyle name="Separador de milhares 2 5 2" xfId="531" xr:uid="{00000000-0005-0000-0000-0000EE010000}"/>
    <cellStyle name="Separador de milhares 3" xfId="298" xr:uid="{00000000-0005-0000-0000-0000EF010000}"/>
    <cellStyle name="Separador de milhares 3 2" xfId="422" xr:uid="{00000000-0005-0000-0000-0000F0010000}"/>
    <cellStyle name="Separador de milhares 3 2 2" xfId="532" xr:uid="{00000000-0005-0000-0000-0000F1010000}"/>
    <cellStyle name="Separador de milhares 4" xfId="299" xr:uid="{00000000-0005-0000-0000-0000F2010000}"/>
    <cellStyle name="Separador de milhares 4 2" xfId="455" xr:uid="{00000000-0005-0000-0000-0000F3010000}"/>
    <cellStyle name="Separador de milhares 4 2 2" xfId="533" xr:uid="{00000000-0005-0000-0000-0000F4010000}"/>
    <cellStyle name="ssubtitulo" xfId="300" xr:uid="{00000000-0005-0000-0000-0000F5010000}"/>
    <cellStyle name="Style 1" xfId="301" xr:uid="{00000000-0005-0000-0000-0000F6010000}"/>
    <cellStyle name="Style 1 2" xfId="383" xr:uid="{00000000-0005-0000-0000-0000F7010000}"/>
    <cellStyle name="STYLE1 - Style1" xfId="302" xr:uid="{00000000-0005-0000-0000-0000F8010000}"/>
    <cellStyle name="STYLE2 - Style2" xfId="303" xr:uid="{00000000-0005-0000-0000-0000F9010000}"/>
    <cellStyle name="STYLE3 - Style3" xfId="304" xr:uid="{00000000-0005-0000-0000-0000FA010000}"/>
    <cellStyle name="STYLE4 - Style4" xfId="305" xr:uid="{00000000-0005-0000-0000-0000FB010000}"/>
    <cellStyle name="Texto Explicativo" xfId="384" xr:uid="{00000000-0005-0000-0000-0000FC010000}"/>
    <cellStyle name="Title 2" xfId="385" xr:uid="{00000000-0005-0000-0000-0000FD010000}"/>
    <cellStyle name="titulo" xfId="306" xr:uid="{00000000-0005-0000-0000-0000FE010000}"/>
    <cellStyle name="Título" xfId="386" xr:uid="{00000000-0005-0000-0000-0000FF010000}"/>
    <cellStyle name="Título 1" xfId="387" xr:uid="{00000000-0005-0000-0000-000000020000}"/>
    <cellStyle name="Título 2" xfId="388" xr:uid="{00000000-0005-0000-0000-000001020000}"/>
    <cellStyle name="Título 3" xfId="389" xr:uid="{00000000-0005-0000-0000-000002020000}"/>
    <cellStyle name="Título 4" xfId="390" xr:uid="{00000000-0005-0000-0000-000003020000}"/>
    <cellStyle name="Todos" xfId="307" xr:uid="{00000000-0005-0000-0000-000004020000}"/>
    <cellStyle name="Total 2" xfId="391" xr:uid="{00000000-0005-0000-0000-000005020000}"/>
    <cellStyle name="Total 2 2" xfId="464" xr:uid="{00000000-0005-0000-0000-000006020000}"/>
    <cellStyle name="Total 3" xfId="398" xr:uid="{00000000-0005-0000-0000-000007020000}"/>
    <cellStyle name="Total 3 2" xfId="469" xr:uid="{00000000-0005-0000-0000-000008020000}"/>
    <cellStyle name="totalbalan" xfId="308" xr:uid="{00000000-0005-0000-0000-000009020000}"/>
    <cellStyle name="Unprot" xfId="309" xr:uid="{00000000-0005-0000-0000-00000A020000}"/>
    <cellStyle name="Unprot$" xfId="310" xr:uid="{00000000-0005-0000-0000-00000B020000}"/>
    <cellStyle name="Unprot_4.1. Dados Fisicos - Agua" xfId="311" xr:uid="{00000000-0005-0000-0000-00000C020000}"/>
    <cellStyle name="Unprotect" xfId="312" xr:uid="{00000000-0005-0000-0000-00000D020000}"/>
    <cellStyle name="V¡rgula" xfId="313" xr:uid="{00000000-0005-0000-0000-00000E020000}"/>
    <cellStyle name="V¡rgula 2" xfId="424" xr:uid="{00000000-0005-0000-0000-00000F020000}"/>
    <cellStyle name="V¡rgula 2 2" xfId="534" xr:uid="{00000000-0005-0000-0000-000010020000}"/>
    <cellStyle name="V¡rgula0" xfId="314" xr:uid="{00000000-0005-0000-0000-000011020000}"/>
    <cellStyle name="V¡rgula0 2" xfId="425" xr:uid="{00000000-0005-0000-0000-000012020000}"/>
    <cellStyle name="V¡rgula0 2 2" xfId="535" xr:uid="{00000000-0005-0000-0000-000013020000}"/>
    <cellStyle name="Vírgula" xfId="1" builtinId="3"/>
    <cellStyle name="Vírgula 2" xfId="472" xr:uid="{00000000-0005-0000-0000-000015020000}"/>
    <cellStyle name="Vírgula 2 2" xfId="536" xr:uid="{00000000-0005-0000-0000-000016020000}"/>
    <cellStyle name="Vírgula 3" xfId="478" xr:uid="{00000000-0005-0000-0000-000017020000}"/>
    <cellStyle name="Vírgula 3 2" xfId="537" xr:uid="{00000000-0005-0000-0000-000018020000}"/>
    <cellStyle name="Vírgula 3 3" xfId="486" xr:uid="{00000000-0005-0000-0000-000019020000}"/>
    <cellStyle name="Vírgula 4" xfId="480" xr:uid="{00000000-0005-0000-0000-00001A020000}"/>
    <cellStyle name="Vírgula 4 2" xfId="483" xr:uid="{00000000-0005-0000-0000-00001B020000}"/>
    <cellStyle name="Vírgula 5" xfId="482" xr:uid="{00000000-0005-0000-0000-00001C020000}"/>
  </cellStyles>
  <dxfs count="0"/>
  <tableStyles count="0" defaultTableStyle="TableStyleMedium2" defaultPivotStyle="PivotStyleLight16"/>
  <colors>
    <mruColors>
      <color rgb="FFCCCCFF"/>
      <color rgb="FFFFFFCC"/>
      <color rgb="FFFF0066"/>
      <color rgb="FFCCFF99"/>
      <color rgb="FF2D19C5"/>
      <color rgb="FF6295FF"/>
      <color rgb="FF628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2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B7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2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B5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B6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B7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C3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B7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B7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B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63498</xdr:colOff>
      <xdr:row>2</xdr:row>
      <xdr:rowOff>42332</xdr:rowOff>
    </xdr:from>
    <xdr:to>
      <xdr:col>1</xdr:col>
      <xdr:colOff>1395498</xdr:colOff>
      <xdr:row>2</xdr:row>
      <xdr:rowOff>328249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77798" y="728132"/>
          <a:ext cx="1332000" cy="285917"/>
        </a:xfrm>
        <a:prstGeom prst="bevel">
          <a:avLst/>
        </a:prstGeom>
        <a:solidFill>
          <a:schemeClr val="bg1">
            <a:lumMod val="9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1332000</xdr:colOff>
      <xdr:row>1</xdr:row>
      <xdr:rowOff>95417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0"/>
          <a:ext cx="1332000" cy="285917"/>
        </a:xfrm>
        <a:prstGeom prst="bevel">
          <a:avLst/>
        </a:prstGeom>
        <a:solidFill>
          <a:schemeClr val="bg1">
            <a:lumMod val="9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63498</xdr:colOff>
      <xdr:row>2</xdr:row>
      <xdr:rowOff>42332</xdr:rowOff>
    </xdr:from>
    <xdr:to>
      <xdr:col>2</xdr:col>
      <xdr:colOff>1038311</xdr:colOff>
      <xdr:row>2</xdr:row>
      <xdr:rowOff>328249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77798" y="1223432"/>
          <a:ext cx="1327238" cy="285917"/>
        </a:xfrm>
        <a:prstGeom prst="bevel">
          <a:avLst/>
        </a:prstGeom>
        <a:solidFill>
          <a:schemeClr val="bg1">
            <a:lumMod val="9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  <xdr:twoCellAnchor>
    <xdr:from>
      <xdr:col>1</xdr:col>
      <xdr:colOff>63498</xdr:colOff>
      <xdr:row>25</xdr:row>
      <xdr:rowOff>42332</xdr:rowOff>
    </xdr:from>
    <xdr:to>
      <xdr:col>2</xdr:col>
      <xdr:colOff>1038311</xdr:colOff>
      <xdr:row>25</xdr:row>
      <xdr:rowOff>328249</xdr:rowOff>
    </xdr:to>
    <xdr:sp macro="" textlink="">
      <xdr:nvSpPr>
        <xdr:cNvPr id="3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79455" y="415049"/>
          <a:ext cx="1330965" cy="285917"/>
        </a:xfrm>
        <a:prstGeom prst="bevel">
          <a:avLst/>
        </a:prstGeom>
        <a:solidFill>
          <a:schemeClr val="bg1">
            <a:lumMod val="9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1286207</xdr:colOff>
      <xdr:row>3</xdr:row>
      <xdr:rowOff>9525</xdr:rowOff>
    </xdr:to>
    <xdr:sp macro="" textlink="">
      <xdr:nvSpPr>
        <xdr:cNvPr id="4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114300" y="171450"/>
          <a:ext cx="1286207" cy="361950"/>
        </a:xfrm>
        <a:prstGeom prst="bevel">
          <a:avLst/>
        </a:prstGeom>
        <a:solidFill>
          <a:schemeClr val="bg1">
            <a:lumMod val="9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63497</xdr:colOff>
      <xdr:row>2</xdr:row>
      <xdr:rowOff>42332</xdr:rowOff>
    </xdr:from>
    <xdr:to>
      <xdr:col>2</xdr:col>
      <xdr:colOff>1181185</xdr:colOff>
      <xdr:row>2</xdr:row>
      <xdr:rowOff>328249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377822" y="728132"/>
          <a:ext cx="1336763" cy="285917"/>
        </a:xfrm>
        <a:prstGeom prst="bevel">
          <a:avLst/>
        </a:prstGeom>
        <a:solidFill>
          <a:schemeClr val="bg1">
            <a:lumMod val="9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  <xdr:twoCellAnchor>
    <xdr:from>
      <xdr:col>1</xdr:col>
      <xdr:colOff>63497</xdr:colOff>
      <xdr:row>38</xdr:row>
      <xdr:rowOff>42332</xdr:rowOff>
    </xdr:from>
    <xdr:to>
      <xdr:col>2</xdr:col>
      <xdr:colOff>1181185</xdr:colOff>
      <xdr:row>38</xdr:row>
      <xdr:rowOff>328249</xdr:rowOff>
    </xdr:to>
    <xdr:sp macro="" textlink="">
      <xdr:nvSpPr>
        <xdr:cNvPr id="5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378555" y="166890"/>
          <a:ext cx="1286207" cy="285917"/>
        </a:xfrm>
        <a:prstGeom prst="bevel">
          <a:avLst/>
        </a:prstGeom>
        <a:solidFill>
          <a:schemeClr val="bg1">
            <a:lumMod val="9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1286207</xdr:colOff>
      <xdr:row>1</xdr:row>
      <xdr:rowOff>95417</xdr:rowOff>
    </xdr:to>
    <xdr:sp macro="" textlink="">
      <xdr:nvSpPr>
        <xdr:cNvPr id="4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389659" y="0"/>
          <a:ext cx="1286207" cy="285917"/>
        </a:xfrm>
        <a:prstGeom prst="bevel">
          <a:avLst/>
        </a:prstGeom>
        <a:solidFill>
          <a:schemeClr val="bg1">
            <a:lumMod val="9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51359</xdr:colOff>
      <xdr:row>1</xdr:row>
      <xdr:rowOff>88446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0" y="0"/>
          <a:ext cx="1265797" cy="278946"/>
        </a:xfrm>
        <a:prstGeom prst="bevel">
          <a:avLst/>
        </a:prstGeom>
        <a:solidFill>
          <a:schemeClr val="bg1">
            <a:lumMod val="9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</xdr:colOff>
      <xdr:row>0</xdr:row>
      <xdr:rowOff>0</xdr:rowOff>
    </xdr:from>
    <xdr:to>
      <xdr:col>3</xdr:col>
      <xdr:colOff>61564</xdr:colOff>
      <xdr:row>1</xdr:row>
      <xdr:rowOff>88446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51731" y="0"/>
          <a:ext cx="1265797" cy="278946"/>
        </a:xfrm>
        <a:prstGeom prst="bevel">
          <a:avLst/>
        </a:prstGeom>
        <a:solidFill>
          <a:schemeClr val="bg1">
            <a:lumMod val="9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952832</xdr:colOff>
      <xdr:row>1</xdr:row>
      <xdr:rowOff>171450</xdr:rowOff>
    </xdr:to>
    <xdr:sp macro="" textlink="">
      <xdr:nvSpPr>
        <xdr:cNvPr id="3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609600" y="0"/>
          <a:ext cx="1286207" cy="361950"/>
        </a:xfrm>
        <a:prstGeom prst="bevel">
          <a:avLst/>
        </a:prstGeom>
        <a:solidFill>
          <a:schemeClr val="bg1">
            <a:lumMod val="9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63498</xdr:colOff>
      <xdr:row>2</xdr:row>
      <xdr:rowOff>42332</xdr:rowOff>
    </xdr:from>
    <xdr:to>
      <xdr:col>1</xdr:col>
      <xdr:colOff>1395498</xdr:colOff>
      <xdr:row>2</xdr:row>
      <xdr:rowOff>328249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77798" y="728132"/>
          <a:ext cx="1332000" cy="285917"/>
        </a:xfrm>
        <a:prstGeom prst="bevel">
          <a:avLst/>
        </a:prstGeom>
        <a:solidFill>
          <a:schemeClr val="bg1">
            <a:lumMod val="9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63498</xdr:colOff>
      <xdr:row>2</xdr:row>
      <xdr:rowOff>42332</xdr:rowOff>
    </xdr:from>
    <xdr:to>
      <xdr:col>1</xdr:col>
      <xdr:colOff>1395498</xdr:colOff>
      <xdr:row>2</xdr:row>
      <xdr:rowOff>328249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82561" y="1221051"/>
          <a:ext cx="1332000" cy="285917"/>
        </a:xfrm>
        <a:prstGeom prst="bevel">
          <a:avLst/>
        </a:prstGeom>
        <a:solidFill>
          <a:schemeClr val="bg1">
            <a:lumMod val="9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63498</xdr:colOff>
      <xdr:row>4</xdr:row>
      <xdr:rowOff>42332</xdr:rowOff>
    </xdr:from>
    <xdr:to>
      <xdr:col>1</xdr:col>
      <xdr:colOff>1395498</xdr:colOff>
      <xdr:row>4</xdr:row>
      <xdr:rowOff>328249</xdr:rowOff>
    </xdr:to>
    <xdr:sp macro="" textlink="">
      <xdr:nvSpPr>
        <xdr:cNvPr id="3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77798" y="480482"/>
          <a:ext cx="1332000" cy="285917"/>
        </a:xfrm>
        <a:prstGeom prst="bevel">
          <a:avLst/>
        </a:prstGeom>
        <a:solidFill>
          <a:schemeClr val="bg1">
            <a:lumMod val="9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  <xdr:twoCellAnchor>
    <xdr:from>
      <xdr:col>1</xdr:col>
      <xdr:colOff>63498</xdr:colOff>
      <xdr:row>28</xdr:row>
      <xdr:rowOff>42332</xdr:rowOff>
    </xdr:from>
    <xdr:to>
      <xdr:col>1</xdr:col>
      <xdr:colOff>1395498</xdr:colOff>
      <xdr:row>28</xdr:row>
      <xdr:rowOff>328249</xdr:rowOff>
    </xdr:to>
    <xdr:sp macro="" textlink="">
      <xdr:nvSpPr>
        <xdr:cNvPr id="4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74623" y="590020"/>
          <a:ext cx="1332000" cy="257342"/>
        </a:xfrm>
        <a:prstGeom prst="bevel">
          <a:avLst/>
        </a:prstGeom>
        <a:solidFill>
          <a:schemeClr val="bg1">
            <a:lumMod val="9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63498</xdr:colOff>
      <xdr:row>1</xdr:row>
      <xdr:rowOff>42332</xdr:rowOff>
    </xdr:from>
    <xdr:to>
      <xdr:col>0</xdr:col>
      <xdr:colOff>1395498</xdr:colOff>
      <xdr:row>1</xdr:row>
      <xdr:rowOff>328249</xdr:rowOff>
    </xdr:to>
    <xdr:sp macro="" textlink="">
      <xdr:nvSpPr>
        <xdr:cNvPr id="1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177798" y="728132"/>
          <a:ext cx="1332000" cy="285917"/>
        </a:xfrm>
        <a:prstGeom prst="bevel">
          <a:avLst/>
        </a:prstGeom>
        <a:solidFill>
          <a:schemeClr val="bg1">
            <a:lumMod val="9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63498</xdr:colOff>
      <xdr:row>1</xdr:row>
      <xdr:rowOff>42332</xdr:rowOff>
    </xdr:from>
    <xdr:to>
      <xdr:col>2</xdr:col>
      <xdr:colOff>485775</xdr:colOff>
      <xdr:row>1</xdr:row>
      <xdr:rowOff>328249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73098" y="232832"/>
          <a:ext cx="1374777" cy="285917"/>
        </a:xfrm>
        <a:prstGeom prst="bevel">
          <a:avLst/>
        </a:prstGeom>
        <a:solidFill>
          <a:schemeClr val="bg1">
            <a:lumMod val="9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131850</xdr:colOff>
      <xdr:row>1</xdr:row>
      <xdr:rowOff>95417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09600" y="0"/>
          <a:ext cx="1332000" cy="285917"/>
        </a:xfrm>
        <a:prstGeom prst="bevel">
          <a:avLst/>
        </a:prstGeom>
        <a:solidFill>
          <a:schemeClr val="bg1">
            <a:lumMod val="9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723866</xdr:colOff>
      <xdr:row>1</xdr:row>
      <xdr:rowOff>95417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19808" y="0"/>
          <a:ext cx="1332000" cy="285917"/>
        </a:xfrm>
        <a:prstGeom prst="bevel">
          <a:avLst/>
        </a:prstGeom>
        <a:solidFill>
          <a:schemeClr val="bg1">
            <a:lumMod val="9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1332000</xdr:colOff>
      <xdr:row>1</xdr:row>
      <xdr:rowOff>95417</xdr:rowOff>
    </xdr:to>
    <xdr:sp macro="" textlink="">
      <xdr:nvSpPr>
        <xdr:cNvPr id="3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364435" y="0"/>
          <a:ext cx="1332000" cy="285917"/>
        </a:xfrm>
        <a:prstGeom prst="bevel">
          <a:avLst/>
        </a:prstGeom>
        <a:solidFill>
          <a:schemeClr val="bg1">
            <a:lumMod val="9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04\WORKFA\lydiane\ME\ADASA\AP\MODELO_ER_-_ADASA_xv_1.1x_-_AP_001-2008\(BASE)%20EMPRESA%20REFERENCIA%20-%20ANEEL%20-%20CEB%20AP%20-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rspfs04\WORKFA\Users\Valuation%20Group\Business%20Valuation\SERVI&#199;OS\Regula&#231;&#227;o%20Econ&#244;mica\2.%20Projetos\2015\ADASA\6.%20Pesquisas%20DTT\0.%20ADASA%20-%20Planilhas\NT%20005-2010\MODELO_Custos%20Operacionais%20Eficientes%20-%20NT%20005-2010%20-%20Pos-AP001%20-%202010.xls?69D9A924" TargetMode="External"/><Relationship Id="rId1" Type="http://schemas.openxmlformats.org/officeDocument/2006/relationships/externalLinkPath" Target="file:///\\69D9A924\MODELO_Custos%20Operacionais%20Eficientes%20-%20NT%20005-2010%20-%20Pos-AP001%20-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\Users\Valuation%20Group\Business%20Valuation\SERVI&#199;OS\Regula&#231;&#227;o%20Econ&#244;mica\2.%20Projetos\2014\Agesan\2.%20Execu&#231;&#227;o\Entrega%202%20-%20Diagn&#243;stico%20da%20Situa&#231;&#227;o%20atual\Item%20V\Lages\DRE%20Hist&#243;rica_Lag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01\WORKFAS\FAS\Clientes%202008\Henkel\WACC\WACC_junho_2008%20Ajustada_Henkel_v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bcfs\workfas\Users\CORPORA\Staff\Fernanda%20Sodr&#233;\Tr&#243;pico\Wacc%20VoiP%20Novembro_2004%20fernan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INEL DE CONTROLE"/>
      <sheetName val="Parâmetros"/>
      <sheetName val="Consumidores"/>
      <sheetName val="Dados Físicos"/>
      <sheetName val="Custos Adicionais"/>
      <sheetName val="EmpresasDadosGerais"/>
      <sheetName val="Índices"/>
      <sheetName val="Custo Mat de Tarefas"/>
      <sheetName val="Custos EPC-EPI"/>
      <sheetName val="Custo Equipe"/>
      <sheetName val="Custos de Veículo"/>
      <sheetName val="Administração e Sistemas"/>
      <sheetName val="Salarios"/>
      <sheetName val="Cluster1"/>
      <sheetName val="Cluster2"/>
      <sheetName val="Cluster3"/>
      <sheetName val="Cluster4"/>
      <sheetName val="Cluster5"/>
      <sheetName val="Cluster6"/>
      <sheetName val="Cluster7"/>
      <sheetName val="Cluster8"/>
      <sheetName val="Cluster9"/>
      <sheetName val="Cluster10"/>
      <sheetName val="Gastos Gerencias Regionais"/>
      <sheetName val="Tarefas Comerciais"/>
      <sheetName val="Tarefas de O&amp;M"/>
      <sheetName val="Gastos Sistemas Computacionais"/>
      <sheetName val="Plan1"/>
      <sheetName val="Faturamento"/>
      <sheetName val="Perdas velha"/>
      <sheetName val="Perdas Nao Técnicas"/>
      <sheetName val="Teleatendimentovelho"/>
      <sheetName val="Teleatendimento"/>
      <sheetName val="Relatorio 1"/>
      <sheetName val="Relatorio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e"/>
      <sheetName val="P-Indices"/>
      <sheetName val="P-Salarios"/>
      <sheetName val="P-Equipes"/>
      <sheetName val="P-Veiculos"/>
      <sheetName val="E-Estrutura"/>
      <sheetName val="E-AdmSist"/>
      <sheetName val="E-ETA-ETE"/>
      <sheetName val="E-Elevatorias"/>
      <sheetName val="E-Comercial"/>
      <sheetName val="E-Economias"/>
      <sheetName val="E-Fisicos-Agua (Cap)"/>
      <sheetName val="E-Fisicos-Agua (ETA)"/>
      <sheetName val="E-Fisicos-Agua (Dist)"/>
      <sheetName val="E-Fisicos-Esgoto (Col)"/>
      <sheetName val="E-Fisicos-Esgoto (ETE)"/>
      <sheetName val="E-Fisicos-Esgoto (Emi)"/>
      <sheetName val="E-Adicionais"/>
      <sheetName val="C-Sistemas"/>
      <sheetName val="C-EstCentral"/>
      <sheetName val="C-Regional"/>
      <sheetName val="C-Elevatorias"/>
      <sheetName val="C-ETA-ETE Adm"/>
      <sheetName val="C-ETA-ETE Insumos"/>
      <sheetName val="C-EscritCom"/>
      <sheetName val="C-Faturamento"/>
      <sheetName val="C-Teleatendimento"/>
      <sheetName val="C-O&amp;M-Agua (Cap)"/>
      <sheetName val="C-O&amp;M-Agua (ETA)"/>
      <sheetName val="C-O&amp;M-Agua (Dist)"/>
      <sheetName val="C-O&amp;M-Esgoto (Col)"/>
      <sheetName val="C-O&amp;M-Esgoto (ETE)"/>
      <sheetName val="C-O&amp;M-Esgoto (Emi)"/>
      <sheetName val="S-Geral"/>
      <sheetName val="S-Sistemas"/>
      <sheetName val="S-EstCentral"/>
      <sheetName val="S-Regional"/>
      <sheetName val="S-Elevatorias"/>
      <sheetName val="S-ETA-ETE"/>
      <sheetName val="S-EscritCom"/>
      <sheetName val="S-Faturamento"/>
      <sheetName val="S-Teleatendimento"/>
      <sheetName val="S-O&amp;M Gasto"/>
      <sheetName val="S-O&amp;M Qtdes"/>
      <sheetName val="S-CustSiste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E"/>
      <sheetName val="Recebidos"/>
      <sheetName val="Rec. 2010"/>
      <sheetName val="Rec. 2011"/>
      <sheetName val="Rec. 2013"/>
      <sheetName val="Desp. 2010"/>
      <sheetName val="Desp. 2011"/>
      <sheetName val="Desp. 2012"/>
      <sheetName val="Verificar_Desp. 2013"/>
      <sheetName val="Verificar_Desp 2012"/>
      <sheetName val="Verificar_Rec. 201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ão Relatótio"/>
      <sheetName val="Final"/>
      <sheetName val="Controle"/>
      <sheetName val="BETA"/>
      <sheetName val="Country Risk"/>
      <sheetName val="T-Bonds"/>
      <sheetName val="Long-Horizon ERP"/>
      <sheetName val="Mid-Cap Premia"/>
      <sheetName val="Low-Cap Premia"/>
      <sheetName val="Micro-Cap Premia"/>
      <sheetName val="US Inflation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terc"/>
      <sheetName val="Kterc (2)"/>
      <sheetName val="Final"/>
      <sheetName val="Controle"/>
      <sheetName val="BETA (2)"/>
      <sheetName val="BETA"/>
      <sheetName val="Country Risk"/>
      <sheetName val="T-Bonds"/>
      <sheetName val="Long-Horizon ERP"/>
      <sheetName val="Mid-Cap Premia"/>
      <sheetName val="Low-Cap Premia"/>
      <sheetName val="Micro-Cap Premia"/>
      <sheetName val="US Inflation"/>
      <sheetName val="Fat T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00A1DE"/>
      </a:dk2>
      <a:lt2>
        <a:srgbClr val="72C7E7"/>
      </a:lt2>
      <a:accent1>
        <a:srgbClr val="002776"/>
      </a:accent1>
      <a:accent2>
        <a:srgbClr val="92D400"/>
      </a:accent2>
      <a:accent3>
        <a:srgbClr val="00A1DE"/>
      </a:accent3>
      <a:accent4>
        <a:srgbClr val="72C7E7"/>
      </a:accent4>
      <a:accent5>
        <a:srgbClr val="3C8A2E"/>
      </a:accent5>
      <a:accent6>
        <a:srgbClr val="C9DD03"/>
      </a:accent6>
      <a:hlink>
        <a:srgbClr val="0000FF"/>
      </a:hlink>
      <a:folHlink>
        <a:srgbClr val="5F497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7"/>
  <sheetViews>
    <sheetView showGridLines="0" workbookViewId="0">
      <selection activeCell="B9" sqref="B9"/>
    </sheetView>
  </sheetViews>
  <sheetFormatPr defaultRowHeight="15"/>
  <cols>
    <col min="1" max="1" width="3.140625" customWidth="1"/>
    <col min="2" max="2" width="58.7109375" bestFit="1" customWidth="1"/>
    <col min="3" max="3" width="36.5703125" customWidth="1"/>
  </cols>
  <sheetData>
    <row r="2" spans="1:3" ht="15" customHeight="1">
      <c r="B2" s="267" t="s">
        <v>0</v>
      </c>
      <c r="C2" s="267"/>
    </row>
    <row r="3" spans="1:3" ht="15" customHeight="1">
      <c r="B3" s="267"/>
      <c r="C3" s="267"/>
    </row>
    <row r="4" spans="1:3" ht="15.75" customHeight="1">
      <c r="A4" s="204"/>
      <c r="B4" s="267" t="s">
        <v>1</v>
      </c>
      <c r="C4" s="267" t="s">
        <v>2</v>
      </c>
    </row>
    <row r="5" spans="1:3" ht="15.75" customHeight="1">
      <c r="A5" s="204"/>
      <c r="B5" s="267"/>
      <c r="C5" s="267"/>
    </row>
    <row r="6" spans="1:3" ht="15.75">
      <c r="B6" s="196" t="s">
        <v>3</v>
      </c>
      <c r="C6" s="208" t="s">
        <v>4</v>
      </c>
    </row>
    <row r="7" spans="1:3" ht="15.75">
      <c r="B7" s="196" t="s">
        <v>5</v>
      </c>
      <c r="C7" s="208" t="s">
        <v>6</v>
      </c>
    </row>
    <row r="8" spans="1:3">
      <c r="B8" s="195" t="s">
        <v>7</v>
      </c>
      <c r="C8" s="208" t="s">
        <v>8</v>
      </c>
    </row>
    <row r="9" spans="1:3" ht="15.75">
      <c r="B9" s="196" t="s">
        <v>9</v>
      </c>
      <c r="C9" s="208" t="s">
        <v>10</v>
      </c>
    </row>
    <row r="10" spans="1:3">
      <c r="B10" s="195" t="s">
        <v>11</v>
      </c>
      <c r="C10" s="208" t="s">
        <v>12</v>
      </c>
    </row>
    <row r="11" spans="1:3">
      <c r="C11" s="208" t="s">
        <v>13</v>
      </c>
    </row>
    <row r="12" spans="1:3">
      <c r="C12" s="208" t="s">
        <v>14</v>
      </c>
    </row>
    <row r="13" spans="1:3">
      <c r="C13" s="208" t="s">
        <v>15</v>
      </c>
    </row>
    <row r="14" spans="1:3">
      <c r="C14" s="208" t="s">
        <v>16</v>
      </c>
    </row>
    <row r="15" spans="1:3">
      <c r="C15" s="208" t="s">
        <v>17</v>
      </c>
    </row>
    <row r="16" spans="1:3">
      <c r="C16" s="208" t="s">
        <v>18</v>
      </c>
    </row>
    <row r="17" spans="3:3">
      <c r="C17" s="208" t="s">
        <v>19</v>
      </c>
    </row>
  </sheetData>
  <mergeCells count="3">
    <mergeCell ref="C4:C5"/>
    <mergeCell ref="B4:B5"/>
    <mergeCell ref="B2:C3"/>
  </mergeCells>
  <hyperlinks>
    <hyperlink ref="B6" location="'Preço da Coleta'!A1" display="Preço da Coleta" xr:uid="{00000000-0004-0000-0000-000000000000}"/>
    <hyperlink ref="B8" location="'Preço Disp Final'!A1" display="Preço público para disposição final no Aterro do Brasília" xr:uid="{00000000-0004-0000-0000-000001000000}"/>
    <hyperlink ref="B7" location="'Preço do Tratamento'!A1" display="Preço do Tratamento" xr:uid="{00000000-0004-0000-0000-000002000000}"/>
    <hyperlink ref="B9" location="'Preço do RCC'!A1" display="Preço RCC" xr:uid="{00000000-0004-0000-0000-000003000000}"/>
    <hyperlink ref="B10" location="Preço_Eventos!A1" display="Preços públicos para limpeza de vias e logradouros públicos" xr:uid="{00000000-0004-0000-0000-000004000000}"/>
    <hyperlink ref="C6" location="'Custo com pessoal'!A1" display="Custo com Pessoal" xr:uid="{00000000-0004-0000-0000-000005000000}"/>
    <hyperlink ref="C7" location="'Custo com Energia'!A1" display="Custo com Energia" xr:uid="{00000000-0004-0000-0000-000006000000}"/>
    <hyperlink ref="C8" location="'Custo com Água'!A1" display="Custo com Água" xr:uid="{00000000-0004-0000-0000-000007000000}"/>
    <hyperlink ref="C9" location="'Custos operacionais '!A1" display="Custos Operacionais" xr:uid="{00000000-0004-0000-0000-000008000000}"/>
    <hyperlink ref="C10" location="'Bens de Uso Geral'!A1" display="Bens de Uso Geral" xr:uid="{00000000-0004-0000-0000-000009000000}"/>
    <hyperlink ref="C11" location="BRC!A1" display="Base de Remuneração do Capital" xr:uid="{00000000-0004-0000-0000-00000A000000}"/>
    <hyperlink ref="C12" location="'Custo de Capital'!A1" display="Custo de Capital" xr:uid="{00000000-0004-0000-0000-00000B000000}"/>
    <hyperlink ref="C13" location="'Rem. Adequada'!A1" display="Remuneração Adequada" xr:uid="{00000000-0004-0000-0000-00000C000000}"/>
    <hyperlink ref="C14" location="Distâncias!A1" display="Distâncias" xr:uid="{00000000-0004-0000-0000-00000D000000}"/>
    <hyperlink ref="C15" location="BDI_DispF!A1" display="BDI_Disposição Final" xr:uid="{00000000-0004-0000-0000-00000E000000}"/>
    <hyperlink ref="C16" location="BDI_Geral!A1" display="BDI_Geral" xr:uid="{00000000-0004-0000-0000-00000F000000}"/>
    <hyperlink ref="C17" location="'Anexo Único'!A1" display="Anexo Único" xr:uid="{00000000-0004-0000-0000-00001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59999389629810485"/>
  </sheetPr>
  <dimension ref="A2:L48"/>
  <sheetViews>
    <sheetView showGridLines="0" topLeftCell="A10" zoomScale="115" zoomScaleNormal="115" workbookViewId="0">
      <selection activeCell="F21" sqref="F21"/>
    </sheetView>
  </sheetViews>
  <sheetFormatPr defaultRowHeight="15"/>
  <cols>
    <col min="1" max="1" width="5.42578125" bestFit="1" customWidth="1"/>
    <col min="2" max="2" width="44.28515625" customWidth="1"/>
    <col min="3" max="3" width="10.42578125" bestFit="1" customWidth="1"/>
    <col min="4" max="4" width="14.5703125" customWidth="1"/>
    <col min="5" max="5" width="12" bestFit="1" customWidth="1"/>
    <col min="6" max="6" width="8" customWidth="1"/>
    <col min="7" max="7" width="14" bestFit="1" customWidth="1"/>
    <col min="8" max="8" width="15.5703125" bestFit="1" customWidth="1"/>
    <col min="11" max="11" width="20.28515625" customWidth="1"/>
    <col min="12" max="12" width="15.140625" bestFit="1" customWidth="1"/>
  </cols>
  <sheetData>
    <row r="2" spans="1:12" ht="18" customHeight="1"/>
    <row r="3" spans="1:12" ht="21.75" customHeight="1">
      <c r="B3" s="366" t="s">
        <v>142</v>
      </c>
      <c r="C3" s="366"/>
      <c r="D3" s="366"/>
      <c r="E3" s="366"/>
      <c r="F3" s="366"/>
      <c r="G3" s="366"/>
      <c r="H3" s="366"/>
    </row>
    <row r="4" spans="1:12" ht="30">
      <c r="B4" s="131" t="s">
        <v>143</v>
      </c>
      <c r="C4" s="131" t="s">
        <v>144</v>
      </c>
      <c r="D4" s="131" t="s">
        <v>145</v>
      </c>
      <c r="E4" s="131" t="s">
        <v>146</v>
      </c>
      <c r="F4" s="131" t="s">
        <v>147</v>
      </c>
      <c r="G4" s="131" t="s">
        <v>148</v>
      </c>
      <c r="H4" s="132" t="s">
        <v>149</v>
      </c>
    </row>
    <row r="5" spans="1:12">
      <c r="A5" s="74">
        <v>1</v>
      </c>
      <c r="B5" s="74" t="s">
        <v>150</v>
      </c>
      <c r="C5" s="74"/>
      <c r="F5" s="124"/>
      <c r="G5" s="124"/>
      <c r="H5" s="133">
        <f>SUM(H6:H19)</f>
        <v>27710328.886666667</v>
      </c>
    </row>
    <row r="6" spans="1:12">
      <c r="A6" s="128" t="s">
        <v>151</v>
      </c>
      <c r="B6" s="134" t="s">
        <v>152</v>
      </c>
      <c r="C6" s="134"/>
      <c r="D6" s="134"/>
      <c r="E6" s="134"/>
      <c r="F6" s="135"/>
      <c r="G6" s="136">
        <v>0</v>
      </c>
      <c r="H6" s="137">
        <v>0</v>
      </c>
    </row>
    <row r="7" spans="1:12">
      <c r="A7" s="128" t="s">
        <v>153</v>
      </c>
      <c r="B7" s="134" t="s">
        <v>154</v>
      </c>
      <c r="C7" s="134"/>
      <c r="D7" s="134"/>
      <c r="E7" s="134"/>
      <c r="F7" s="135"/>
      <c r="G7" s="138">
        <v>49724.44</v>
      </c>
      <c r="H7" s="127">
        <f>G7*12</f>
        <v>596693.28</v>
      </c>
      <c r="J7" s="72"/>
    </row>
    <row r="8" spans="1:12">
      <c r="A8" s="128" t="s">
        <v>155</v>
      </c>
      <c r="B8" s="139" t="s">
        <v>156</v>
      </c>
      <c r="C8" s="139"/>
      <c r="D8" s="139"/>
      <c r="E8" s="139"/>
      <c r="F8" s="140"/>
      <c r="G8" s="138">
        <v>0</v>
      </c>
      <c r="H8" s="127">
        <f>G8*12</f>
        <v>0</v>
      </c>
      <c r="J8" s="72"/>
    </row>
    <row r="9" spans="1:12">
      <c r="A9" s="128" t="s">
        <v>157</v>
      </c>
      <c r="B9" s="141" t="s">
        <v>158</v>
      </c>
      <c r="C9" s="141"/>
      <c r="D9" s="141"/>
      <c r="E9" s="141"/>
      <c r="F9" s="135"/>
      <c r="G9" s="138">
        <v>0</v>
      </c>
      <c r="H9" s="127">
        <f>G9*12</f>
        <v>0</v>
      </c>
      <c r="J9" s="72"/>
    </row>
    <row r="10" spans="1:12">
      <c r="A10" s="128" t="s">
        <v>159</v>
      </c>
      <c r="B10" s="141" t="s">
        <v>160</v>
      </c>
      <c r="C10" s="141"/>
      <c r="D10" s="141"/>
      <c r="E10" s="141"/>
      <c r="F10" s="135"/>
      <c r="G10" s="138">
        <v>0</v>
      </c>
      <c r="H10" s="127">
        <f>G10*12</f>
        <v>0</v>
      </c>
      <c r="J10" s="72"/>
    </row>
    <row r="11" spans="1:12">
      <c r="A11" s="128" t="s">
        <v>161</v>
      </c>
      <c r="B11" s="141" t="s">
        <v>162</v>
      </c>
      <c r="C11" s="151" t="s">
        <v>163</v>
      </c>
      <c r="D11" s="142">
        <v>68000</v>
      </c>
      <c r="E11" s="142">
        <f>D11*12</f>
        <v>816000</v>
      </c>
      <c r="F11" s="143">
        <v>24.37</v>
      </c>
      <c r="G11" s="138">
        <f>D11*F11</f>
        <v>1657160</v>
      </c>
      <c r="H11" s="127">
        <f>E11*F11</f>
        <v>19885920</v>
      </c>
      <c r="J11" s="72"/>
    </row>
    <row r="12" spans="1:12">
      <c r="A12" s="128" t="s">
        <v>164</v>
      </c>
      <c r="B12" s="141" t="s">
        <v>165</v>
      </c>
      <c r="C12" s="141"/>
      <c r="D12" s="142"/>
      <c r="E12" s="142"/>
      <c r="F12" s="143"/>
      <c r="G12" s="136">
        <v>0</v>
      </c>
      <c r="H12" s="137">
        <f>G12*12</f>
        <v>0</v>
      </c>
      <c r="J12" s="72"/>
    </row>
    <row r="13" spans="1:12">
      <c r="A13" s="128" t="s">
        <v>166</v>
      </c>
      <c r="B13" s="141" t="s">
        <v>167</v>
      </c>
      <c r="C13" s="141"/>
      <c r="D13" s="141"/>
      <c r="E13" s="141"/>
      <c r="F13" s="135"/>
      <c r="G13" s="144">
        <f>H13/12</f>
        <v>34674.457222222212</v>
      </c>
      <c r="H13" s="127">
        <v>416093.48666666658</v>
      </c>
    </row>
    <row r="14" spans="1:12">
      <c r="A14" s="128" t="s">
        <v>168</v>
      </c>
      <c r="B14" s="141" t="s">
        <v>169</v>
      </c>
      <c r="C14" s="141"/>
      <c r="D14" s="141"/>
      <c r="E14" s="141"/>
      <c r="F14" s="135"/>
      <c r="G14" s="144">
        <v>859.87999999999988</v>
      </c>
      <c r="H14" s="127">
        <f>G14*12</f>
        <v>10318.559999999998</v>
      </c>
      <c r="K14" s="124"/>
      <c r="L14" s="124"/>
    </row>
    <row r="15" spans="1:12">
      <c r="A15" s="128" t="s">
        <v>170</v>
      </c>
      <c r="B15" s="141" t="s">
        <v>171</v>
      </c>
      <c r="C15" s="141"/>
      <c r="D15" s="141"/>
      <c r="E15" s="141"/>
      <c r="F15" s="135"/>
      <c r="G15" s="144">
        <v>788.7</v>
      </c>
      <c r="H15" s="127">
        <f>G15*12</f>
        <v>9464.4000000000015</v>
      </c>
      <c r="L15" s="124"/>
    </row>
    <row r="16" spans="1:12">
      <c r="A16" s="128" t="s">
        <v>172</v>
      </c>
      <c r="B16" s="141" t="s">
        <v>173</v>
      </c>
      <c r="C16" s="141"/>
      <c r="D16" s="141"/>
      <c r="E16" s="141"/>
      <c r="F16" s="135"/>
      <c r="G16" s="144">
        <v>0</v>
      </c>
      <c r="H16" s="127"/>
      <c r="K16" s="123"/>
      <c r="L16" s="124"/>
    </row>
    <row r="17" spans="1:12">
      <c r="A17" s="128" t="s">
        <v>174</v>
      </c>
      <c r="B17" s="141" t="s">
        <v>175</v>
      </c>
      <c r="C17" s="141"/>
      <c r="D17" s="141"/>
      <c r="E17" s="141"/>
      <c r="F17" s="135"/>
      <c r="G17" s="144">
        <v>0</v>
      </c>
      <c r="H17" s="127">
        <v>7006.16</v>
      </c>
      <c r="L17" s="124"/>
    </row>
    <row r="18" spans="1:12">
      <c r="A18" s="128" t="s">
        <v>176</v>
      </c>
      <c r="B18" s="141" t="s">
        <v>177</v>
      </c>
      <c r="C18" s="141"/>
      <c r="D18" s="141"/>
      <c r="E18" s="141"/>
      <c r="F18" s="135"/>
      <c r="G18" s="144">
        <v>0</v>
      </c>
      <c r="H18" s="127">
        <v>34833</v>
      </c>
      <c r="K18" s="123"/>
    </row>
    <row r="19" spans="1:12">
      <c r="A19" s="128" t="s">
        <v>178</v>
      </c>
      <c r="B19" s="141" t="s">
        <v>179</v>
      </c>
      <c r="C19" s="141"/>
      <c r="D19" s="141"/>
      <c r="E19" s="141"/>
      <c r="F19" s="135"/>
      <c r="G19" s="144">
        <v>562500</v>
      </c>
      <c r="H19" s="127">
        <f>G19*12</f>
        <v>6750000</v>
      </c>
    </row>
    <row r="20" spans="1:12">
      <c r="B20" s="145"/>
      <c r="C20" s="145"/>
      <c r="D20" s="145"/>
      <c r="E20" s="145"/>
      <c r="F20" s="145"/>
      <c r="G20" s="146"/>
      <c r="H20" s="147"/>
    </row>
    <row r="21" spans="1:12">
      <c r="A21" s="125">
        <v>2</v>
      </c>
      <c r="B21" s="148" t="s">
        <v>180</v>
      </c>
      <c r="C21" s="148"/>
      <c r="D21" s="141"/>
      <c r="E21" s="141"/>
      <c r="F21" s="141"/>
      <c r="G21" s="149"/>
      <c r="H21" s="150">
        <f>SUM(H22:H31)</f>
        <v>10703444.639999999</v>
      </c>
    </row>
    <row r="22" spans="1:12">
      <c r="A22" s="128" t="s">
        <v>181</v>
      </c>
      <c r="B22" s="141" t="s">
        <v>182</v>
      </c>
      <c r="C22" s="151" t="s">
        <v>163</v>
      </c>
      <c r="D22" s="142">
        <v>13000</v>
      </c>
      <c r="E22" s="142">
        <f>D22*12</f>
        <v>156000</v>
      </c>
      <c r="F22" s="152">
        <v>62.1</v>
      </c>
      <c r="G22" s="153">
        <f>D22*F22</f>
        <v>807300</v>
      </c>
      <c r="H22" s="153">
        <f>E22*F22</f>
        <v>9687600</v>
      </c>
    </row>
    <row r="23" spans="1:12">
      <c r="A23" s="128" t="s">
        <v>183</v>
      </c>
      <c r="B23" s="141" t="s">
        <v>167</v>
      </c>
      <c r="C23" s="141"/>
      <c r="D23" s="141"/>
      <c r="E23" s="141"/>
      <c r="F23" s="129"/>
      <c r="G23" s="153">
        <v>82766.39</v>
      </c>
      <c r="H23" s="153">
        <f>G23*12</f>
        <v>993196.67999999993</v>
      </c>
    </row>
    <row r="24" spans="1:12">
      <c r="A24" s="128" t="s">
        <v>184</v>
      </c>
      <c r="B24" s="141" t="s">
        <v>185</v>
      </c>
      <c r="C24" s="141"/>
      <c r="D24" s="141"/>
      <c r="E24" s="141"/>
      <c r="F24" s="129"/>
      <c r="G24" s="138"/>
      <c r="H24" s="138"/>
    </row>
    <row r="25" spans="1:12">
      <c r="A25" s="128" t="s">
        <v>186</v>
      </c>
      <c r="B25" s="141" t="s">
        <v>187</v>
      </c>
      <c r="C25" s="141"/>
      <c r="D25" s="141"/>
      <c r="E25" s="141"/>
      <c r="F25" s="141"/>
      <c r="G25" s="135"/>
      <c r="H25" s="135"/>
    </row>
    <row r="26" spans="1:12">
      <c r="A26" s="128" t="s">
        <v>188</v>
      </c>
      <c r="B26" s="134" t="s">
        <v>189</v>
      </c>
      <c r="C26" s="141"/>
      <c r="D26" s="141"/>
      <c r="E26" s="141"/>
      <c r="F26" s="141"/>
      <c r="G26" s="144">
        <v>0</v>
      </c>
      <c r="H26" s="138"/>
    </row>
    <row r="27" spans="1:12">
      <c r="A27" s="128" t="s">
        <v>190</v>
      </c>
      <c r="B27" s="139" t="s">
        <v>156</v>
      </c>
      <c r="C27" s="141"/>
      <c r="D27" s="141"/>
      <c r="E27" s="141"/>
      <c r="F27" s="141"/>
      <c r="G27" s="144">
        <v>81.010000000000005</v>
      </c>
      <c r="H27" s="138">
        <f>G27*12</f>
        <v>972.12000000000012</v>
      </c>
    </row>
    <row r="28" spans="1:12">
      <c r="A28" s="128" t="s">
        <v>191</v>
      </c>
      <c r="B28" s="141" t="s">
        <v>158</v>
      </c>
      <c r="C28" s="141"/>
      <c r="D28" s="141"/>
      <c r="E28" s="141"/>
      <c r="F28" s="141"/>
      <c r="G28" s="144">
        <v>0</v>
      </c>
      <c r="H28" s="138"/>
    </row>
    <row r="29" spans="1:12">
      <c r="A29" s="128" t="s">
        <v>192</v>
      </c>
      <c r="B29" s="141" t="s">
        <v>169</v>
      </c>
      <c r="C29" s="141"/>
      <c r="D29" s="141"/>
      <c r="E29" s="141"/>
      <c r="F29" s="141"/>
      <c r="G29" s="144">
        <v>859.87999999999988</v>
      </c>
      <c r="H29" s="138">
        <f>G29*12</f>
        <v>10318.559999999998</v>
      </c>
    </row>
    <row r="30" spans="1:12">
      <c r="A30" s="128" t="s">
        <v>193</v>
      </c>
      <c r="B30" s="141" t="s">
        <v>171</v>
      </c>
      <c r="C30" s="141"/>
      <c r="D30" s="141"/>
      <c r="E30" s="141"/>
      <c r="F30" s="141"/>
      <c r="G30" s="144">
        <v>946.44</v>
      </c>
      <c r="H30" s="138">
        <f>G30*12</f>
        <v>11357.28</v>
      </c>
    </row>
    <row r="31" spans="1:12">
      <c r="A31" s="128" t="s">
        <v>194</v>
      </c>
      <c r="B31" s="141" t="s">
        <v>173</v>
      </c>
      <c r="C31" s="141"/>
      <c r="D31" s="141"/>
      <c r="E31" s="141"/>
      <c r="F31" s="141"/>
      <c r="G31" s="144"/>
      <c r="H31" s="138"/>
    </row>
    <row r="32" spans="1:12">
      <c r="B32" s="145"/>
      <c r="C32" s="145"/>
      <c r="D32" s="145"/>
      <c r="E32" s="145"/>
      <c r="F32" s="145"/>
      <c r="G32" s="146"/>
      <c r="H32" s="147"/>
    </row>
    <row r="33" spans="1:8">
      <c r="A33" s="126">
        <v>3</v>
      </c>
      <c r="B33" s="126" t="s">
        <v>195</v>
      </c>
      <c r="C33" s="129"/>
      <c r="D33" s="129"/>
      <c r="E33" s="129"/>
      <c r="F33" s="129"/>
      <c r="G33" s="129"/>
      <c r="H33" s="198">
        <f>SUM(H34:H45)</f>
        <v>15092650.452469997</v>
      </c>
    </row>
    <row r="34" spans="1:8">
      <c r="A34" s="128" t="s">
        <v>196</v>
      </c>
      <c r="B34" s="129" t="s">
        <v>197</v>
      </c>
      <c r="C34" s="129"/>
      <c r="D34" s="129"/>
      <c r="E34" s="129"/>
      <c r="F34" s="129"/>
      <c r="G34" s="129"/>
      <c r="H34" s="127">
        <v>12051650.314469997</v>
      </c>
    </row>
    <row r="35" spans="1:8">
      <c r="A35" s="128" t="s">
        <v>198</v>
      </c>
      <c r="B35" s="129" t="s">
        <v>167</v>
      </c>
      <c r="C35" s="129"/>
      <c r="D35" s="129"/>
      <c r="E35" s="129"/>
      <c r="F35" s="129"/>
      <c r="G35" s="129"/>
      <c r="H35" s="129"/>
    </row>
    <row r="36" spans="1:8">
      <c r="A36" s="128" t="s">
        <v>199</v>
      </c>
      <c r="B36" s="129" t="s">
        <v>200</v>
      </c>
      <c r="C36" s="129"/>
      <c r="D36" s="129"/>
      <c r="E36" s="129"/>
      <c r="F36" s="129"/>
      <c r="G36" s="130">
        <v>213147.94</v>
      </c>
      <c r="H36" s="130">
        <f>G36*13.33</f>
        <v>2841262.0402000002</v>
      </c>
    </row>
    <row r="37" spans="1:8">
      <c r="A37" s="128" t="s">
        <v>201</v>
      </c>
      <c r="B37" s="129" t="s">
        <v>202</v>
      </c>
      <c r="C37" s="129"/>
      <c r="D37" s="129"/>
      <c r="E37" s="129"/>
      <c r="F37" s="129"/>
      <c r="G37" s="130">
        <v>11278.66</v>
      </c>
      <c r="H37" s="130">
        <f>G37*13.33</f>
        <v>150344.53779999999</v>
      </c>
    </row>
    <row r="38" spans="1:8">
      <c r="A38" s="128" t="s">
        <v>203</v>
      </c>
      <c r="B38" s="134" t="s">
        <v>152</v>
      </c>
      <c r="C38" s="129"/>
      <c r="D38" s="129"/>
      <c r="E38" s="129"/>
      <c r="F38" s="129"/>
      <c r="G38" s="129"/>
      <c r="H38" s="129"/>
    </row>
    <row r="39" spans="1:8">
      <c r="A39" s="128" t="s">
        <v>204</v>
      </c>
      <c r="B39" s="134" t="s">
        <v>189</v>
      </c>
      <c r="C39" s="129"/>
      <c r="D39" s="129"/>
      <c r="E39" s="129"/>
      <c r="F39" s="129"/>
      <c r="G39" s="129"/>
      <c r="H39" s="129"/>
    </row>
    <row r="40" spans="1:8">
      <c r="A40" s="128" t="s">
        <v>205</v>
      </c>
      <c r="B40" s="139" t="s">
        <v>156</v>
      </c>
      <c r="C40" s="129"/>
      <c r="D40" s="129"/>
      <c r="E40" s="129"/>
      <c r="F40" s="129"/>
      <c r="G40" s="129"/>
      <c r="H40" s="129"/>
    </row>
    <row r="41" spans="1:8">
      <c r="A41" s="128" t="s">
        <v>206</v>
      </c>
      <c r="B41" s="141" t="s">
        <v>158</v>
      </c>
      <c r="C41" s="129"/>
      <c r="D41" s="129"/>
      <c r="E41" s="129"/>
      <c r="F41" s="129"/>
      <c r="G41" s="129"/>
      <c r="H41" s="129"/>
    </row>
    <row r="42" spans="1:8">
      <c r="A42" s="128" t="s">
        <v>207</v>
      </c>
      <c r="B42" s="141" t="s">
        <v>160</v>
      </c>
      <c r="C42" s="129"/>
      <c r="D42" s="129"/>
      <c r="E42" s="129"/>
      <c r="F42" s="129"/>
      <c r="G42" s="130">
        <v>4116.13</v>
      </c>
      <c r="H42" s="130">
        <f>G42*12</f>
        <v>49393.56</v>
      </c>
    </row>
    <row r="43" spans="1:8">
      <c r="A43" s="128" t="s">
        <v>208</v>
      </c>
      <c r="B43" s="141" t="s">
        <v>169</v>
      </c>
      <c r="C43" s="129"/>
      <c r="D43" s="129"/>
      <c r="E43" s="129"/>
      <c r="F43" s="129"/>
      <c r="G43" s="129"/>
      <c r="H43" s="129"/>
    </row>
    <row r="44" spans="1:8">
      <c r="A44" s="128" t="s">
        <v>209</v>
      </c>
      <c r="B44" s="141" t="s">
        <v>171</v>
      </c>
      <c r="C44" s="129"/>
      <c r="D44" s="129"/>
      <c r="E44" s="129"/>
      <c r="F44" s="129"/>
      <c r="G44" s="129"/>
      <c r="H44" s="129"/>
    </row>
    <row r="45" spans="1:8">
      <c r="A45" s="128" t="s">
        <v>210</v>
      </c>
      <c r="B45" s="141" t="s">
        <v>173</v>
      </c>
      <c r="C45" s="129"/>
      <c r="D45" s="129"/>
      <c r="E45" s="129"/>
      <c r="F45" s="129"/>
      <c r="G45" s="129"/>
      <c r="H45" s="129"/>
    </row>
    <row r="46" spans="1:8">
      <c r="B46" s="145"/>
      <c r="C46" s="145"/>
      <c r="D46" s="145"/>
      <c r="E46" s="145"/>
      <c r="F46" s="145"/>
      <c r="G46" s="146"/>
      <c r="H46" s="147"/>
    </row>
    <row r="47" spans="1:8">
      <c r="A47" s="74">
        <v>4</v>
      </c>
      <c r="B47" s="154" t="s">
        <v>211</v>
      </c>
      <c r="C47" s="155" t="s">
        <v>163</v>
      </c>
      <c r="D47" s="156"/>
      <c r="E47" s="156"/>
      <c r="F47" s="199">
        <v>93.25</v>
      </c>
      <c r="G47" s="157"/>
      <c r="H47" s="158"/>
    </row>
    <row r="48" spans="1:8">
      <c r="B48" s="367" t="s">
        <v>44</v>
      </c>
      <c r="C48" s="367"/>
      <c r="D48" s="367"/>
      <c r="E48" s="367"/>
      <c r="F48" s="367"/>
      <c r="G48" s="367"/>
      <c r="H48" s="159"/>
    </row>
  </sheetData>
  <mergeCells count="2">
    <mergeCell ref="B3:H3"/>
    <mergeCell ref="B48:G4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</sheetPr>
  <dimension ref="A2:I25"/>
  <sheetViews>
    <sheetView showGridLines="0" workbookViewId="0">
      <selection activeCell="L8" sqref="L8"/>
    </sheetView>
  </sheetViews>
  <sheetFormatPr defaultRowHeight="15"/>
  <cols>
    <col min="1" max="1" width="31.140625" bestFit="1" customWidth="1"/>
    <col min="2" max="2" width="45" bestFit="1" customWidth="1"/>
    <col min="3" max="3" width="13.7109375" customWidth="1"/>
    <col min="4" max="4" width="12.5703125" customWidth="1"/>
    <col min="5" max="5" width="17.42578125" bestFit="1" customWidth="1"/>
    <col min="6" max="6" width="11.7109375" customWidth="1"/>
    <col min="7" max="7" width="11.5703125" customWidth="1"/>
    <col min="8" max="8" width="21.5703125" customWidth="1"/>
    <col min="9" max="9" width="9.85546875" customWidth="1"/>
  </cols>
  <sheetData>
    <row r="2" spans="1:9" ht="19.5" thickBot="1">
      <c r="A2" s="366" t="s">
        <v>212</v>
      </c>
      <c r="B2" s="366"/>
      <c r="C2" s="366"/>
      <c r="D2" s="366"/>
      <c r="E2" s="366"/>
      <c r="F2" s="366"/>
      <c r="G2" s="366"/>
    </row>
    <row r="3" spans="1:9" ht="15.75" thickBot="1">
      <c r="H3" s="254" t="s">
        <v>213</v>
      </c>
      <c r="I3" s="255">
        <f>'Custo de Capital'!C9</f>
        <v>0.14149999999999999</v>
      </c>
    </row>
    <row r="4" spans="1:9">
      <c r="A4" s="121" t="s">
        <v>214</v>
      </c>
      <c r="B4" s="121" t="s">
        <v>215</v>
      </c>
      <c r="C4" s="121" t="s">
        <v>216</v>
      </c>
      <c r="D4" s="121" t="s">
        <v>217</v>
      </c>
      <c r="E4" s="121" t="s">
        <v>218</v>
      </c>
      <c r="F4" s="121" t="s">
        <v>219</v>
      </c>
      <c r="G4" s="122" t="s">
        <v>220</v>
      </c>
    </row>
    <row r="5" spans="1:9">
      <c r="A5" s="216" t="s">
        <v>221</v>
      </c>
      <c r="B5" s="217">
        <v>525</v>
      </c>
      <c r="C5" s="216">
        <v>1</v>
      </c>
      <c r="D5" s="217">
        <f>B5*C5</f>
        <v>525</v>
      </c>
      <c r="E5" s="217">
        <f>D5*G5</f>
        <v>52.5</v>
      </c>
      <c r="F5" s="216">
        <v>10</v>
      </c>
      <c r="G5" s="218">
        <f>1/F5</f>
        <v>0.1</v>
      </c>
      <c r="H5" s="120"/>
    </row>
    <row r="6" spans="1:9">
      <c r="A6" s="216" t="s">
        <v>222</v>
      </c>
      <c r="B6" s="217">
        <v>6500</v>
      </c>
      <c r="C6" s="216">
        <v>3</v>
      </c>
      <c r="D6" s="217">
        <f t="shared" ref="D6:D9" si="0">B6*C6</f>
        <v>19500</v>
      </c>
      <c r="E6" s="217">
        <f>D6*G6</f>
        <v>1950</v>
      </c>
      <c r="F6" s="216">
        <v>10</v>
      </c>
      <c r="G6" s="218">
        <f t="shared" ref="G6:G9" si="1">1/F6</f>
        <v>0.1</v>
      </c>
    </row>
    <row r="7" spans="1:9">
      <c r="A7" s="216" t="s">
        <v>223</v>
      </c>
      <c r="B7" s="217">
        <v>165</v>
      </c>
      <c r="C7" s="216">
        <v>10</v>
      </c>
      <c r="D7" s="217">
        <f t="shared" si="0"/>
        <v>1650</v>
      </c>
      <c r="E7" s="217">
        <f>D7*G7</f>
        <v>165</v>
      </c>
      <c r="F7" s="216">
        <v>10</v>
      </c>
      <c r="G7" s="218">
        <f t="shared" si="1"/>
        <v>0.1</v>
      </c>
    </row>
    <row r="8" spans="1:9">
      <c r="A8" s="216" t="s">
        <v>224</v>
      </c>
      <c r="B8" s="217">
        <v>671</v>
      </c>
      <c r="C8" s="216">
        <v>5</v>
      </c>
      <c r="D8" s="217">
        <f t="shared" si="0"/>
        <v>3355</v>
      </c>
      <c r="E8" s="217">
        <f>D8*G8</f>
        <v>335.5</v>
      </c>
      <c r="F8" s="216">
        <v>10</v>
      </c>
      <c r="G8" s="218">
        <f t="shared" si="1"/>
        <v>0.1</v>
      </c>
    </row>
    <row r="9" spans="1:9">
      <c r="A9" s="216" t="s">
        <v>225</v>
      </c>
      <c r="B9" s="217">
        <v>1327</v>
      </c>
      <c r="C9" s="216">
        <v>3</v>
      </c>
      <c r="D9" s="217">
        <f t="shared" si="0"/>
        <v>3981</v>
      </c>
      <c r="E9" s="217">
        <f>D9*G9</f>
        <v>796.2</v>
      </c>
      <c r="F9" s="216">
        <v>5</v>
      </c>
      <c r="G9" s="218">
        <f t="shared" si="1"/>
        <v>0.2</v>
      </c>
    </row>
    <row r="10" spans="1:9" ht="15.75" thickBot="1">
      <c r="A10" s="368" t="s">
        <v>226</v>
      </c>
      <c r="B10" s="369"/>
      <c r="C10" s="370"/>
      <c r="D10" s="219">
        <f>SUM(D5:D9)</f>
        <v>29011</v>
      </c>
      <c r="E10" s="219">
        <f>SUM(E5:E9)</f>
        <v>3299.2</v>
      </c>
      <c r="F10" s="220"/>
      <c r="G10" s="221"/>
    </row>
    <row r="13" spans="1:9" ht="18.75" customHeight="1">
      <c r="A13" s="271" t="s">
        <v>227</v>
      </c>
      <c r="B13" s="271"/>
      <c r="C13" s="271"/>
      <c r="D13" s="271"/>
      <c r="E13" s="271"/>
    </row>
    <row r="14" spans="1:9" ht="15.75" thickBot="1"/>
    <row r="15" spans="1:9">
      <c r="A15" s="200" t="s">
        <v>228</v>
      </c>
      <c r="B15" s="121" t="s">
        <v>229</v>
      </c>
      <c r="C15" s="121" t="s">
        <v>230</v>
      </c>
      <c r="D15" s="121" t="s">
        <v>231</v>
      </c>
      <c r="E15" s="122" t="s">
        <v>226</v>
      </c>
      <c r="F15" s="122" t="s">
        <v>232</v>
      </c>
      <c r="G15" s="122" t="s">
        <v>233</v>
      </c>
      <c r="H15" s="122" t="s">
        <v>234</v>
      </c>
    </row>
    <row r="16" spans="1:9">
      <c r="A16" s="222">
        <v>1</v>
      </c>
      <c r="B16" s="216" t="s">
        <v>235</v>
      </c>
      <c r="C16" s="217">
        <v>5000</v>
      </c>
      <c r="D16" s="223">
        <v>2</v>
      </c>
      <c r="E16" s="224">
        <f>C16*D16</f>
        <v>10000</v>
      </c>
      <c r="F16" s="224">
        <f>E25/5</f>
        <v>20400</v>
      </c>
      <c r="G16" s="224">
        <f>E25*I3</f>
        <v>14432.999999999998</v>
      </c>
      <c r="H16" s="224">
        <f>SUM(F16:G16)</f>
        <v>34833</v>
      </c>
      <c r="I16" s="124"/>
    </row>
    <row r="17" spans="1:7">
      <c r="A17" s="222">
        <v>2</v>
      </c>
      <c r="B17" s="216" t="s">
        <v>236</v>
      </c>
      <c r="C17" s="217">
        <v>10000</v>
      </c>
      <c r="D17" s="223">
        <v>4</v>
      </c>
      <c r="E17" s="224">
        <f t="shared" ref="E17:E24" si="2">C17*D17</f>
        <v>40000</v>
      </c>
    </row>
    <row r="18" spans="1:7">
      <c r="A18" s="222">
        <v>3</v>
      </c>
      <c r="B18" s="216" t="s">
        <v>237</v>
      </c>
      <c r="C18" s="217">
        <v>4000</v>
      </c>
      <c r="D18" s="223">
        <v>2</v>
      </c>
      <c r="E18" s="224">
        <f t="shared" si="2"/>
        <v>8000</v>
      </c>
    </row>
    <row r="19" spans="1:7">
      <c r="A19" s="222">
        <v>4</v>
      </c>
      <c r="B19" s="216" t="s">
        <v>238</v>
      </c>
      <c r="C19" s="217">
        <v>3500</v>
      </c>
      <c r="D19" s="223">
        <v>6</v>
      </c>
      <c r="E19" s="224">
        <f t="shared" si="2"/>
        <v>21000</v>
      </c>
    </row>
    <row r="20" spans="1:7">
      <c r="A20" s="222">
        <v>5</v>
      </c>
      <c r="B20" s="216" t="s">
        <v>239</v>
      </c>
      <c r="C20" s="217">
        <v>4000</v>
      </c>
      <c r="D20" s="223">
        <v>2</v>
      </c>
      <c r="E20" s="224">
        <f t="shared" si="2"/>
        <v>8000</v>
      </c>
    </row>
    <row r="21" spans="1:7">
      <c r="A21" s="222">
        <v>6</v>
      </c>
      <c r="B21" s="216" t="s">
        <v>240</v>
      </c>
      <c r="C21" s="217">
        <v>800</v>
      </c>
      <c r="D21" s="223">
        <v>2</v>
      </c>
      <c r="E21" s="224">
        <f t="shared" si="2"/>
        <v>1600</v>
      </c>
    </row>
    <row r="22" spans="1:7">
      <c r="A22" s="222">
        <v>7</v>
      </c>
      <c r="B22" s="216" t="s">
        <v>241</v>
      </c>
      <c r="C22" s="217">
        <v>400</v>
      </c>
      <c r="D22" s="223">
        <v>1</v>
      </c>
      <c r="E22" s="224">
        <f t="shared" si="2"/>
        <v>400</v>
      </c>
    </row>
    <row r="23" spans="1:7">
      <c r="A23" s="222">
        <v>8</v>
      </c>
      <c r="B23" s="216" t="s">
        <v>242</v>
      </c>
      <c r="C23" s="217">
        <v>7000</v>
      </c>
      <c r="D23" s="223">
        <v>1</v>
      </c>
      <c r="E23" s="224">
        <f t="shared" si="2"/>
        <v>7000</v>
      </c>
    </row>
    <row r="24" spans="1:7">
      <c r="A24" s="222">
        <v>9</v>
      </c>
      <c r="B24" s="216" t="s">
        <v>243</v>
      </c>
      <c r="C24" s="217">
        <v>2000</v>
      </c>
      <c r="D24" s="223">
        <v>3</v>
      </c>
      <c r="E24" s="224">
        <f t="shared" si="2"/>
        <v>6000</v>
      </c>
    </row>
    <row r="25" spans="1:7" ht="15.75" thickBot="1">
      <c r="A25" s="371" t="s">
        <v>226</v>
      </c>
      <c r="B25" s="372"/>
      <c r="C25" s="372"/>
      <c r="D25" s="373"/>
      <c r="E25" s="225">
        <f>SUM(E16:E24)</f>
        <v>102000</v>
      </c>
      <c r="G25" s="120"/>
    </row>
  </sheetData>
  <mergeCells count="4">
    <mergeCell ref="A10:C10"/>
    <mergeCell ref="A13:E13"/>
    <mergeCell ref="A25:D25"/>
    <mergeCell ref="A2:G2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6">
    <tabColor theme="4" tint="0.59999389629810485"/>
  </sheetPr>
  <dimension ref="A1:AK37"/>
  <sheetViews>
    <sheetView showGridLines="0" topLeftCell="A7" zoomScale="115" zoomScaleNormal="115" workbookViewId="0">
      <selection activeCell="K14" sqref="K14"/>
    </sheetView>
  </sheetViews>
  <sheetFormatPr defaultRowHeight="12.75"/>
  <cols>
    <col min="1" max="1" width="1.7109375" style="2" customWidth="1"/>
    <col min="2" max="2" width="5.28515625" style="2" customWidth="1"/>
    <col min="3" max="3" width="61.7109375" style="15" customWidth="1"/>
    <col min="4" max="4" width="22.5703125" style="15" bestFit="1" customWidth="1"/>
    <col min="5" max="5" width="2.7109375" style="15" customWidth="1"/>
    <col min="6" max="6" width="20" style="15" customWidth="1"/>
    <col min="7" max="7" width="9" style="15" customWidth="1"/>
    <col min="8" max="8" width="10.5703125" style="15" bestFit="1" customWidth="1"/>
    <col min="9" max="16384" width="9.140625" style="15"/>
  </cols>
  <sheetData>
    <row r="1" spans="1:37" ht="9.9499999999999993" customHeight="1"/>
    <row r="2" spans="1:37" ht="20.100000000000001" customHeight="1">
      <c r="A2" s="38"/>
      <c r="B2" s="375" t="s">
        <v>244</v>
      </c>
      <c r="C2" s="375"/>
      <c r="D2" s="375"/>
      <c r="E2" s="39"/>
      <c r="F2" s="39"/>
      <c r="G2" s="39"/>
      <c r="H2" s="39"/>
      <c r="I2" s="39"/>
    </row>
    <row r="3" spans="1:37" s="18" customFormat="1" ht="30" customHeight="1">
      <c r="A3" s="3"/>
      <c r="B3" s="7"/>
      <c r="C3" s="30"/>
      <c r="D3" s="30"/>
      <c r="E3" s="3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4"/>
    </row>
    <row r="4" spans="1:37" ht="13.5" thickBot="1"/>
    <row r="5" spans="1:37" ht="15" customHeight="1">
      <c r="B5" s="374" t="s">
        <v>245</v>
      </c>
      <c r="C5" s="374"/>
      <c r="D5" s="374"/>
      <c r="E5" s="42"/>
      <c r="F5" s="104" t="s">
        <v>246</v>
      </c>
      <c r="G5" s="105">
        <v>13</v>
      </c>
      <c r="H5" s="106" t="s">
        <v>247</v>
      </c>
      <c r="I5" s="42"/>
    </row>
    <row r="6" spans="1:37" ht="7.5" customHeight="1">
      <c r="B6" s="3"/>
      <c r="C6" s="44"/>
      <c r="D6" s="44"/>
      <c r="E6" s="42"/>
      <c r="F6" s="107"/>
      <c r="G6" s="108"/>
      <c r="H6" s="109"/>
      <c r="I6" s="42"/>
    </row>
    <row r="7" spans="1:37" s="59" customFormat="1" ht="15.75" thickBot="1">
      <c r="A7" s="55"/>
      <c r="B7" s="119" t="s">
        <v>248</v>
      </c>
      <c r="C7" s="56" t="s">
        <v>143</v>
      </c>
      <c r="D7" s="57" t="s">
        <v>92</v>
      </c>
      <c r="E7" s="58"/>
      <c r="F7" s="256" t="s">
        <v>232</v>
      </c>
      <c r="G7" s="257">
        <f>1/G5</f>
        <v>7.6923076923076927E-2</v>
      </c>
      <c r="H7" s="258" t="s">
        <v>249</v>
      </c>
      <c r="I7" s="58"/>
    </row>
    <row r="8" spans="1:37" s="59" customFormat="1" ht="14.25">
      <c r="A8" s="55"/>
      <c r="B8" s="60"/>
      <c r="C8" s="58"/>
      <c r="D8" s="61"/>
      <c r="E8" s="58"/>
      <c r="F8" s="58"/>
      <c r="G8" s="58"/>
      <c r="H8" s="58"/>
    </row>
    <row r="9" spans="1:37" s="59" customFormat="1" ht="15.75">
      <c r="A9" s="55"/>
      <c r="B9" s="101">
        <v>1</v>
      </c>
      <c r="C9" s="226" t="s">
        <v>250</v>
      </c>
      <c r="D9" s="113">
        <f>SUM(D10:D18)</f>
        <v>30796492.940000001</v>
      </c>
      <c r="E9" s="58"/>
      <c r="F9" s="58"/>
      <c r="G9" s="58"/>
      <c r="H9" s="58"/>
    </row>
    <row r="10" spans="1:37" s="59" customFormat="1" ht="15">
      <c r="A10" s="55"/>
      <c r="B10" s="102" t="s">
        <v>151</v>
      </c>
      <c r="C10" s="103" t="s">
        <v>251</v>
      </c>
      <c r="D10" s="110">
        <v>3225141.9</v>
      </c>
      <c r="E10" s="58"/>
      <c r="F10" s="58"/>
      <c r="G10" s="58"/>
      <c r="H10" s="58"/>
    </row>
    <row r="11" spans="1:37" s="59" customFormat="1" ht="15">
      <c r="A11" s="55"/>
      <c r="B11" s="102" t="s">
        <v>153</v>
      </c>
      <c r="C11" s="103" t="s">
        <v>252</v>
      </c>
      <c r="D11" s="110">
        <v>15584327.67</v>
      </c>
      <c r="E11" s="58"/>
      <c r="F11" s="58"/>
      <c r="G11" s="58"/>
      <c r="H11" s="58"/>
    </row>
    <row r="12" spans="1:37" s="59" customFormat="1" ht="15">
      <c r="A12" s="55"/>
      <c r="B12" s="102" t="s">
        <v>155</v>
      </c>
      <c r="C12" s="103" t="s">
        <v>253</v>
      </c>
      <c r="D12" s="110">
        <v>4176525.99</v>
      </c>
      <c r="E12" s="58"/>
      <c r="F12" s="58"/>
      <c r="G12" s="58"/>
      <c r="H12" s="58"/>
    </row>
    <row r="13" spans="1:37" s="59" customFormat="1" ht="15">
      <c r="A13" s="55"/>
      <c r="B13" s="102" t="s">
        <v>157</v>
      </c>
      <c r="C13" s="103" t="s">
        <v>254</v>
      </c>
      <c r="D13" s="110">
        <v>2901242.83</v>
      </c>
      <c r="E13" s="58"/>
      <c r="F13" s="58"/>
      <c r="G13" s="58"/>
      <c r="H13" s="58"/>
    </row>
    <row r="14" spans="1:37" s="59" customFormat="1" ht="15">
      <c r="A14" s="55"/>
      <c r="B14" s="102" t="s">
        <v>159</v>
      </c>
      <c r="C14" s="103" t="s">
        <v>255</v>
      </c>
      <c r="D14" s="110">
        <v>300988.82</v>
      </c>
      <c r="E14" s="58"/>
      <c r="F14" s="58"/>
      <c r="G14" s="58"/>
      <c r="H14" s="58"/>
    </row>
    <row r="15" spans="1:37" s="59" customFormat="1" ht="15">
      <c r="A15" s="55"/>
      <c r="B15" s="102" t="s">
        <v>161</v>
      </c>
      <c r="C15" s="103" t="s">
        <v>256</v>
      </c>
      <c r="D15" s="110">
        <v>86004.59</v>
      </c>
      <c r="E15" s="58"/>
      <c r="F15" s="58"/>
      <c r="G15" s="58"/>
      <c r="H15" s="58"/>
    </row>
    <row r="16" spans="1:37" s="59" customFormat="1" ht="15">
      <c r="A16" s="55"/>
      <c r="B16" s="102" t="s">
        <v>164</v>
      </c>
      <c r="C16" s="103" t="s">
        <v>257</v>
      </c>
      <c r="D16" s="110">
        <v>117000</v>
      </c>
      <c r="E16" s="58"/>
      <c r="F16" s="58"/>
      <c r="G16" s="58"/>
      <c r="H16" s="58"/>
    </row>
    <row r="17" spans="1:8" s="59" customFormat="1" ht="15">
      <c r="A17" s="55"/>
      <c r="B17" s="102" t="s">
        <v>166</v>
      </c>
      <c r="C17" s="103" t="s">
        <v>258</v>
      </c>
      <c r="D17" s="112">
        <v>4081281.14</v>
      </c>
      <c r="E17" s="58"/>
      <c r="F17" s="58"/>
      <c r="G17" s="58"/>
      <c r="H17" s="58"/>
    </row>
    <row r="18" spans="1:8" s="59" customFormat="1" ht="15">
      <c r="A18" s="55"/>
      <c r="B18" s="102" t="s">
        <v>168</v>
      </c>
      <c r="C18" s="103" t="s">
        <v>259</v>
      </c>
      <c r="D18" s="110">
        <v>323980</v>
      </c>
      <c r="E18" s="58"/>
      <c r="F18" s="58"/>
      <c r="G18" s="75"/>
      <c r="H18" s="58"/>
    </row>
    <row r="19" spans="1:8" s="59" customFormat="1" ht="15.75">
      <c r="A19" s="55"/>
      <c r="B19" s="101">
        <v>2</v>
      </c>
      <c r="C19" s="103" t="s">
        <v>260</v>
      </c>
      <c r="D19" s="111">
        <f>316400000*(32/72)</f>
        <v>140622222.22222221</v>
      </c>
      <c r="E19" s="58"/>
      <c r="F19" s="58"/>
      <c r="G19" s="75"/>
      <c r="H19" s="58"/>
    </row>
    <row r="20" spans="1:8" s="59" customFormat="1" ht="15.75">
      <c r="A20" s="55"/>
      <c r="B20" s="101">
        <v>3</v>
      </c>
      <c r="C20" s="103" t="s">
        <v>261</v>
      </c>
      <c r="D20" s="111">
        <f>D9+D19</f>
        <v>171418715.16222221</v>
      </c>
      <c r="E20" s="58"/>
      <c r="F20" s="58"/>
      <c r="G20" s="75"/>
      <c r="H20" s="58"/>
    </row>
    <row r="21" spans="1:8" s="59" customFormat="1" ht="15.75">
      <c r="A21" s="55"/>
      <c r="B21" s="101">
        <v>4</v>
      </c>
      <c r="C21" s="103" t="s">
        <v>262</v>
      </c>
      <c r="D21" s="111">
        <v>0</v>
      </c>
      <c r="E21" s="58"/>
      <c r="F21" s="58"/>
      <c r="G21" s="75"/>
      <c r="H21" s="58"/>
    </row>
    <row r="22" spans="1:8" s="59" customFormat="1" ht="15.75">
      <c r="A22" s="55"/>
      <c r="B22" s="101"/>
      <c r="C22" s="100" t="s">
        <v>263</v>
      </c>
      <c r="D22" s="99">
        <f>D20-D21</f>
        <v>171418715.16222221</v>
      </c>
      <c r="E22" s="58"/>
      <c r="F22" s="58"/>
      <c r="G22" s="58"/>
      <c r="H22" s="58"/>
    </row>
    <row r="23" spans="1:8">
      <c r="B23" s="45"/>
      <c r="C23" s="42"/>
      <c r="E23" s="42"/>
      <c r="F23" s="42"/>
      <c r="G23" s="42"/>
      <c r="H23" s="42"/>
    </row>
    <row r="24" spans="1:8" ht="15" customHeight="1">
      <c r="B24" s="3"/>
      <c r="C24" s="42"/>
    </row>
    <row r="25" spans="1:8" ht="15" customHeight="1">
      <c r="B25" s="375" t="s">
        <v>264</v>
      </c>
      <c r="C25" s="375"/>
      <c r="D25" s="375"/>
    </row>
    <row r="26" spans="1:8" ht="24.75" customHeight="1">
      <c r="B26" s="7"/>
      <c r="C26" s="30"/>
      <c r="D26" s="30"/>
    </row>
    <row r="27" spans="1:8" ht="15" customHeight="1" thickBot="1"/>
    <row r="28" spans="1:8" ht="15" customHeight="1">
      <c r="B28" s="374" t="s">
        <v>245</v>
      </c>
      <c r="C28" s="374"/>
      <c r="D28" s="374"/>
      <c r="F28" s="104" t="s">
        <v>246</v>
      </c>
      <c r="G28" s="105">
        <v>10</v>
      </c>
      <c r="H28" s="106" t="s">
        <v>247</v>
      </c>
    </row>
    <row r="29" spans="1:8" ht="8.25" customHeight="1">
      <c r="B29" s="3"/>
      <c r="C29" s="44"/>
      <c r="D29" s="44"/>
      <c r="F29" s="107"/>
      <c r="G29" s="108"/>
      <c r="H29" s="109"/>
    </row>
    <row r="30" spans="1:8" ht="15" customHeight="1" thickBot="1">
      <c r="B30" s="119" t="s">
        <v>248</v>
      </c>
      <c r="C30" s="56" t="s">
        <v>143</v>
      </c>
      <c r="D30" s="57" t="s">
        <v>92</v>
      </c>
      <c r="F30" s="256" t="s">
        <v>232</v>
      </c>
      <c r="G30" s="257">
        <f>1/G28</f>
        <v>0.1</v>
      </c>
      <c r="H30" s="258" t="s">
        <v>249</v>
      </c>
    </row>
    <row r="31" spans="1:8" ht="15" customHeight="1">
      <c r="B31" s="60"/>
      <c r="C31" s="58"/>
      <c r="D31" s="61"/>
    </row>
    <row r="32" spans="1:8" ht="15.75">
      <c r="B32" s="178">
        <v>1</v>
      </c>
      <c r="C32" s="226" t="s">
        <v>265</v>
      </c>
      <c r="D32" s="113">
        <f>SUM(D33:D34)</f>
        <v>1650914.5503827413</v>
      </c>
    </row>
    <row r="33" spans="2:4" ht="15.75">
      <c r="B33" s="178" t="s">
        <v>151</v>
      </c>
      <c r="C33" s="103" t="s">
        <v>255</v>
      </c>
      <c r="D33" s="110">
        <v>601977.64</v>
      </c>
    </row>
    <row r="34" spans="2:4" ht="15.75">
      <c r="B34" s="178"/>
      <c r="C34" s="103" t="s">
        <v>266</v>
      </c>
      <c r="D34" s="110">
        <v>1048936.9103827411</v>
      </c>
    </row>
    <row r="35" spans="2:4" ht="15.75">
      <c r="B35" s="178">
        <v>2</v>
      </c>
      <c r="C35" s="103" t="s">
        <v>267</v>
      </c>
      <c r="D35" s="110">
        <f>D32</f>
        <v>1650914.5503827413</v>
      </c>
    </row>
    <row r="36" spans="2:4" ht="15.75">
      <c r="B36" s="178">
        <v>3</v>
      </c>
      <c r="C36" s="103" t="s">
        <v>262</v>
      </c>
      <c r="D36" s="111">
        <v>0</v>
      </c>
    </row>
    <row r="37" spans="2:4" ht="15.75">
      <c r="B37" s="101"/>
      <c r="C37" s="100" t="s">
        <v>263</v>
      </c>
      <c r="D37" s="99">
        <f>D35-D36</f>
        <v>1650914.5503827413</v>
      </c>
    </row>
  </sheetData>
  <mergeCells count="4">
    <mergeCell ref="B5:D5"/>
    <mergeCell ref="B2:D2"/>
    <mergeCell ref="B25:D25"/>
    <mergeCell ref="B28:D28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5">
    <tabColor theme="4" tint="0.59999389629810485"/>
  </sheetPr>
  <dimension ref="A1:ZT53"/>
  <sheetViews>
    <sheetView showGridLines="0" zoomScaleNormal="100" workbookViewId="0">
      <selection activeCell="B17" sqref="B17:B18"/>
    </sheetView>
  </sheetViews>
  <sheetFormatPr defaultColWidth="0" defaultRowHeight="12.75" zeroHeight="1"/>
  <cols>
    <col min="1" max="1" width="1.7109375" style="2" customWidth="1"/>
    <col min="2" max="2" width="60.7109375" style="1" customWidth="1"/>
    <col min="3" max="3" width="35.7109375" style="1" customWidth="1"/>
    <col min="4" max="16" width="9.140625" style="1" customWidth="1"/>
    <col min="17" max="696" width="0" style="1" hidden="1" customWidth="1"/>
    <col min="697" max="16384" width="9.140625" style="1" hidden="1"/>
  </cols>
  <sheetData>
    <row r="1" spans="1:684" s="2" customFormat="1" ht="13.5" customHeight="1"/>
    <row r="2" spans="1:684" s="2" customFormat="1" ht="14.25" customHeight="1"/>
    <row r="3" spans="1:684" s="2" customFormat="1" ht="13.5" customHeight="1"/>
    <row r="4" spans="1:684" s="8" customFormat="1" ht="24.95" customHeight="1">
      <c r="A4" s="3"/>
      <c r="B4" s="377" t="s">
        <v>268</v>
      </c>
      <c r="C4" s="37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</row>
    <row r="5" spans="1:684" s="18" customFormat="1" ht="30" customHeight="1">
      <c r="A5" s="3"/>
      <c r="B5" s="7"/>
      <c r="C5" s="30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14"/>
    </row>
    <row r="6" spans="1:684"/>
    <row r="7" spans="1:684" s="11" customFormat="1" ht="15" customHeight="1">
      <c r="A7" s="3"/>
      <c r="B7" s="376" t="s">
        <v>268</v>
      </c>
      <c r="C7" s="376"/>
    </row>
    <row r="8" spans="1:684" s="11" customFormat="1">
      <c r="A8" s="3"/>
      <c r="B8" s="43"/>
      <c r="C8" s="43"/>
    </row>
    <row r="9" spans="1:684" s="11" customFormat="1" ht="15" customHeight="1">
      <c r="A9" s="3"/>
      <c r="B9" s="12" t="s">
        <v>269</v>
      </c>
      <c r="C9" s="12">
        <v>0.14149999999999999</v>
      </c>
      <c r="E9"/>
    </row>
    <row r="10" spans="1:684" s="11" customFormat="1" ht="15" customHeight="1">
      <c r="A10" s="3"/>
      <c r="B10" s="13"/>
      <c r="C10" s="13"/>
      <c r="E10"/>
    </row>
    <row r="11" spans="1:684" s="11" customFormat="1" ht="15" customHeight="1">
      <c r="A11" s="3"/>
      <c r="B11" s="1"/>
      <c r="C11" s="1"/>
      <c r="E11"/>
    </row>
    <row r="12" spans="1:684" s="11" customFormat="1" ht="15" customHeight="1">
      <c r="A12" s="3"/>
      <c r="B12" s="1"/>
      <c r="C12" s="1"/>
      <c r="E12"/>
    </row>
    <row r="13" spans="1:684" s="11" customFormat="1">
      <c r="A13" s="3"/>
      <c r="B13" s="1"/>
      <c r="C13" s="1"/>
    </row>
    <row r="14" spans="1:684" s="11" customFormat="1" ht="15" customHeight="1">
      <c r="A14" s="3"/>
      <c r="B14" s="1"/>
      <c r="C14" s="1"/>
      <c r="E14"/>
    </row>
    <row r="15" spans="1:684" s="11" customFormat="1">
      <c r="A15" s="3"/>
      <c r="B15" s="1"/>
      <c r="C15" s="1"/>
    </row>
    <row r="16" spans="1:684" s="11" customFormat="1" ht="15" customHeight="1">
      <c r="A16" s="3"/>
      <c r="B16" s="1"/>
      <c r="C16" s="1"/>
      <c r="E16"/>
    </row>
    <row r="17" spans="1:5" s="11" customFormat="1">
      <c r="A17" s="3"/>
      <c r="B17" s="1"/>
      <c r="C17" s="1"/>
    </row>
    <row r="18" spans="1:5" s="11" customFormat="1" ht="15" customHeight="1">
      <c r="A18" s="3"/>
      <c r="B18" s="1"/>
      <c r="C18" s="1"/>
      <c r="E18"/>
    </row>
    <row r="19" spans="1:5" s="11" customFormat="1">
      <c r="A19" s="3"/>
      <c r="B19" s="1"/>
      <c r="C19" s="1"/>
    </row>
    <row r="20" spans="1:5" s="11" customFormat="1" ht="15" customHeight="1">
      <c r="A20" s="3"/>
      <c r="B20" s="1"/>
      <c r="C20" s="1"/>
      <c r="E20"/>
    </row>
    <row r="21" spans="1:5" s="11" customFormat="1" ht="15" customHeight="1">
      <c r="A21" s="3"/>
      <c r="B21" s="1"/>
      <c r="C21" s="1"/>
      <c r="E21"/>
    </row>
    <row r="22" spans="1:5" s="11" customFormat="1">
      <c r="A22" s="3"/>
      <c r="B22" s="1"/>
      <c r="C22" s="1"/>
    </row>
    <row r="23" spans="1:5" s="11" customFormat="1" ht="15" customHeight="1">
      <c r="A23" s="3"/>
      <c r="B23" s="1"/>
      <c r="C23" s="1"/>
      <c r="E23"/>
    </row>
    <row r="24" spans="1:5" s="11" customFormat="1" ht="15" customHeight="1">
      <c r="A24" s="3"/>
      <c r="B24" s="1"/>
      <c r="C24" s="1"/>
      <c r="E24"/>
    </row>
    <row r="25" spans="1:5" s="11" customFormat="1">
      <c r="A25" s="3"/>
      <c r="B25" s="1"/>
      <c r="C25" s="1"/>
    </row>
    <row r="26" spans="1:5" s="11" customFormat="1" ht="15" customHeight="1">
      <c r="A26" s="3"/>
      <c r="B26" s="1"/>
      <c r="C26" s="1"/>
      <c r="E26"/>
    </row>
    <row r="27" spans="1:5" s="11" customFormat="1">
      <c r="A27" s="3"/>
      <c r="B27" s="1"/>
      <c r="C27" s="1"/>
    </row>
    <row r="28" spans="1:5" s="11" customFormat="1" ht="15" customHeight="1">
      <c r="A28" s="3"/>
      <c r="B28" s="1"/>
      <c r="C28" s="1"/>
      <c r="E28"/>
    </row>
    <row r="29" spans="1:5" s="11" customFormat="1">
      <c r="A29" s="3"/>
      <c r="B29" s="1"/>
      <c r="C29" s="1"/>
    </row>
    <row r="30" spans="1:5" s="11" customFormat="1" ht="15" customHeight="1">
      <c r="A30" s="3"/>
      <c r="B30" s="1"/>
      <c r="C30" s="1"/>
      <c r="E30"/>
    </row>
    <row r="31" spans="1:5" s="11" customFormat="1">
      <c r="A31" s="3"/>
      <c r="B31" s="1"/>
      <c r="C31" s="1"/>
    </row>
    <row r="32" spans="1:5" s="11" customFormat="1" ht="15" customHeight="1">
      <c r="A32" s="3"/>
      <c r="B32" s="1"/>
      <c r="C32" s="1"/>
      <c r="E32"/>
    </row>
    <row r="33" spans="1:5" s="11" customFormat="1">
      <c r="A33" s="3"/>
      <c r="B33" s="1"/>
      <c r="C33" s="1"/>
    </row>
    <row r="34" spans="1:5" s="11" customFormat="1" ht="15" customHeight="1">
      <c r="A34" s="3"/>
      <c r="B34" s="1"/>
      <c r="C34" s="1"/>
      <c r="E34"/>
    </row>
    <row r="35" spans="1:5" s="11" customFormat="1">
      <c r="A35" s="3"/>
      <c r="B35" s="1"/>
      <c r="C35" s="1"/>
    </row>
    <row r="36" spans="1:5" s="11" customFormat="1" ht="15" customHeight="1">
      <c r="A36" s="3"/>
      <c r="B36" s="1"/>
      <c r="C36" s="1"/>
      <c r="E36"/>
    </row>
    <row r="37" spans="1:5" s="11" customFormat="1">
      <c r="A37" s="3"/>
      <c r="B37" s="1"/>
      <c r="C37" s="1"/>
    </row>
    <row r="38" spans="1:5" s="11" customFormat="1" ht="15">
      <c r="A38" s="3"/>
      <c r="B38" s="1"/>
      <c r="C38" s="1"/>
      <c r="E38"/>
    </row>
    <row r="39" spans="1:5" s="11" customFormat="1">
      <c r="A39" s="3"/>
      <c r="B39" s="1"/>
      <c r="C39" s="1"/>
    </row>
    <row r="40" spans="1:5" s="11" customFormat="1" ht="15" customHeight="1">
      <c r="A40" s="3"/>
      <c r="B40" s="1"/>
      <c r="C40" s="1"/>
      <c r="E40"/>
    </row>
    <row r="41" spans="1:5"/>
    <row r="42" spans="1:5"/>
    <row r="43" spans="1:5"/>
    <row r="44" spans="1:5"/>
    <row r="45" spans="1:5"/>
    <row r="46" spans="1:5"/>
    <row r="47" spans="1:5"/>
    <row r="48" spans="1:5"/>
    <row r="49"/>
    <row r="50"/>
    <row r="51"/>
    <row r="52"/>
    <row r="53"/>
  </sheetData>
  <mergeCells count="2">
    <mergeCell ref="B7:C7"/>
    <mergeCell ref="B4:C4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7">
    <tabColor theme="4" tint="0.59999389629810485"/>
  </sheetPr>
  <dimension ref="A1:AM72"/>
  <sheetViews>
    <sheetView showGridLines="0" topLeftCell="A7" zoomScale="130" zoomScaleNormal="130" workbookViewId="0">
      <selection activeCell="D26" sqref="D26"/>
    </sheetView>
  </sheetViews>
  <sheetFormatPr defaultColWidth="9.140625" defaultRowHeight="12.75"/>
  <cols>
    <col min="1" max="1" width="4.7109375" style="4" customWidth="1"/>
    <col min="2" max="2" width="2.5703125" style="5" customWidth="1"/>
    <col min="3" max="3" width="23.140625" style="4" customWidth="1"/>
    <col min="4" max="4" width="22.28515625" style="4" customWidth="1"/>
    <col min="5" max="5" width="2" style="4" customWidth="1"/>
    <col min="6" max="8" width="10.7109375" style="4" customWidth="1"/>
    <col min="9" max="9" width="11.85546875" style="4" customWidth="1"/>
    <col min="10" max="10" width="14.85546875" style="4" customWidth="1"/>
    <col min="11" max="14" width="9.140625" style="4" customWidth="1"/>
    <col min="15" max="15" width="10.85546875" style="4" bestFit="1" customWidth="1"/>
    <col min="16" max="16" width="11.7109375" style="4" customWidth="1"/>
    <col min="17" max="692" width="9.140625" style="4" customWidth="1"/>
    <col min="693" max="16384" width="9.140625" style="4"/>
  </cols>
  <sheetData>
    <row r="1" spans="1:39" ht="9.9499999999999993" customHeight="1"/>
    <row r="2" spans="1:39" ht="9.9499999999999993" customHeight="1"/>
    <row r="3" spans="1:39" s="18" customFormat="1" ht="30" customHeight="1">
      <c r="A3" s="3"/>
      <c r="B3" s="7"/>
      <c r="C3" s="30"/>
      <c r="D3" s="30"/>
      <c r="E3" s="31"/>
      <c r="F3" s="30"/>
      <c r="G3" s="30"/>
      <c r="H3" s="32"/>
      <c r="I3" s="3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4"/>
    </row>
    <row r="4" spans="1:39" ht="15.75">
      <c r="B4" s="378" t="s">
        <v>270</v>
      </c>
      <c r="C4" s="378"/>
      <c r="D4" s="378"/>
      <c r="E4" s="378"/>
      <c r="F4" s="378"/>
      <c r="G4" s="378"/>
      <c r="H4" s="378"/>
      <c r="I4" s="378"/>
    </row>
    <row r="5" spans="1:39" s="23" customFormat="1" ht="15" customHeight="1">
      <c r="B5" s="19"/>
      <c r="C5" s="19" t="s">
        <v>271</v>
      </c>
      <c r="D5" s="19" t="s">
        <v>272</v>
      </c>
      <c r="E5" s="19"/>
      <c r="F5" s="19" t="s">
        <v>143</v>
      </c>
      <c r="G5" s="21"/>
      <c r="H5" s="21"/>
      <c r="I5" s="21"/>
    </row>
    <row r="6" spans="1:39" ht="2.25" customHeight="1"/>
    <row r="7" spans="1:39" ht="5.25" customHeight="1">
      <c r="B7" s="227"/>
      <c r="C7" s="228"/>
      <c r="D7" s="228"/>
      <c r="E7" s="228"/>
      <c r="F7" s="228"/>
      <c r="G7" s="228"/>
      <c r="H7" s="228"/>
      <c r="I7" s="228"/>
    </row>
    <row r="8" spans="1:39" s="22" customFormat="1" ht="15" customHeight="1">
      <c r="B8" s="24" t="s">
        <v>273</v>
      </c>
      <c r="C8" s="22" t="s">
        <v>15</v>
      </c>
      <c r="F8" s="22" t="s">
        <v>274</v>
      </c>
      <c r="J8" s="50"/>
      <c r="K8" s="50"/>
      <c r="L8" s="50"/>
      <c r="M8" s="50"/>
      <c r="N8" s="50"/>
      <c r="O8" s="50"/>
    </row>
    <row r="9" spans="1:39" s="22" customFormat="1">
      <c r="B9" s="24"/>
      <c r="D9" s="25"/>
      <c r="E9" s="25"/>
    </row>
    <row r="10" spans="1:39" ht="15" customHeight="1">
      <c r="C10" s="4" t="s">
        <v>275</v>
      </c>
      <c r="D10" s="193">
        <f>D27</f>
        <v>24255748.195454441</v>
      </c>
      <c r="E10" s="17"/>
      <c r="F10" s="4" t="s">
        <v>276</v>
      </c>
      <c r="J10" s="54"/>
    </row>
    <row r="11" spans="1:39" ht="15" customHeight="1">
      <c r="C11" s="4" t="s">
        <v>277</v>
      </c>
      <c r="D11" s="193">
        <f>D35</f>
        <v>13186055.012478633</v>
      </c>
      <c r="E11" s="17"/>
      <c r="F11" s="4" t="s">
        <v>278</v>
      </c>
    </row>
    <row r="12" spans="1:39" ht="5.25" customHeight="1">
      <c r="D12" s="193"/>
      <c r="E12" s="17"/>
    </row>
    <row r="13" spans="1:39" ht="15" customHeight="1" thickBot="1">
      <c r="B13" s="229"/>
      <c r="C13" s="229" t="s">
        <v>279</v>
      </c>
      <c r="D13" s="230">
        <f>SUM(D10:D11)</f>
        <v>37441803.207933076</v>
      </c>
      <c r="E13" s="231"/>
      <c r="F13" s="229" t="s">
        <v>15</v>
      </c>
      <c r="G13" s="229"/>
      <c r="H13" s="229"/>
      <c r="I13" s="232"/>
    </row>
    <row r="14" spans="1:39" ht="4.5" customHeight="1">
      <c r="D14" s="17"/>
      <c r="E14" s="17"/>
    </row>
    <row r="15" spans="1:39" ht="5.25" customHeight="1">
      <c r="B15" s="227"/>
      <c r="C15" s="228"/>
      <c r="D15" s="228"/>
      <c r="E15" s="228"/>
      <c r="F15" s="228"/>
      <c r="G15" s="228"/>
      <c r="H15" s="228"/>
      <c r="I15" s="228"/>
      <c r="O15" s="52"/>
    </row>
    <row r="16" spans="1:39" s="22" customFormat="1" ht="15" customHeight="1">
      <c r="B16" s="22" t="s">
        <v>280</v>
      </c>
      <c r="C16" s="22" t="s">
        <v>276</v>
      </c>
      <c r="F16" s="28" t="s">
        <v>281</v>
      </c>
      <c r="O16" s="53"/>
    </row>
    <row r="18" spans="2:15" ht="15" customHeight="1">
      <c r="C18" s="28" t="s">
        <v>275</v>
      </c>
      <c r="D18" s="194">
        <f>D19*D20</f>
        <v>24255748.195454441</v>
      </c>
      <c r="E18" s="26"/>
      <c r="O18" s="36"/>
    </row>
    <row r="19" spans="2:15" ht="15" customHeight="1">
      <c r="C19" s="20" t="s">
        <v>282</v>
      </c>
      <c r="D19" s="193">
        <f>D24</f>
        <v>171418715.16222221</v>
      </c>
      <c r="E19" s="26"/>
    </row>
    <row r="20" spans="2:15" ht="15" customHeight="1">
      <c r="C20" s="20" t="s">
        <v>283</v>
      </c>
      <c r="D20" s="33">
        <f>'Custo de Capital'!C9</f>
        <v>0.14149999999999999</v>
      </c>
      <c r="E20" s="26"/>
    </row>
    <row r="21" spans="2:15">
      <c r="C21" s="20"/>
      <c r="D21" s="26"/>
      <c r="E21" s="26"/>
    </row>
    <row r="22" spans="2:15" ht="15" customHeight="1">
      <c r="C22" s="28" t="s">
        <v>284</v>
      </c>
      <c r="D22" s="22"/>
      <c r="E22" s="22"/>
      <c r="F22" s="28" t="s">
        <v>285</v>
      </c>
      <c r="G22" s="22"/>
      <c r="H22" s="22"/>
      <c r="I22" s="22"/>
    </row>
    <row r="23" spans="2:15" ht="6" customHeight="1">
      <c r="C23" s="28"/>
      <c r="D23" s="22"/>
      <c r="E23" s="22"/>
      <c r="F23" s="22"/>
      <c r="G23" s="22"/>
      <c r="H23" s="22"/>
      <c r="I23" s="22"/>
    </row>
    <row r="24" spans="2:15" ht="15" customHeight="1">
      <c r="C24" s="28" t="s">
        <v>286</v>
      </c>
      <c r="D24" s="194">
        <f>BRC!D22</f>
        <v>171418715.16222221</v>
      </c>
      <c r="E24" s="34"/>
      <c r="F24" s="22" t="s">
        <v>287</v>
      </c>
    </row>
    <row r="25" spans="2:15" ht="15" customHeight="1">
      <c r="C25" s="20" t="s">
        <v>288</v>
      </c>
      <c r="D25" s="193">
        <f>BRC!D21</f>
        <v>0</v>
      </c>
      <c r="E25" s="26"/>
      <c r="F25" s="4" t="s">
        <v>289</v>
      </c>
    </row>
    <row r="26" spans="2:15">
      <c r="C26" s="20" t="s">
        <v>282</v>
      </c>
      <c r="D26" s="193">
        <f>D24-D25</f>
        <v>171418715.16222221</v>
      </c>
      <c r="F26" s="4" t="s">
        <v>290</v>
      </c>
    </row>
    <row r="27" spans="2:15" ht="15" customHeight="1" thickBot="1">
      <c r="B27" s="229"/>
      <c r="C27" s="233" t="s">
        <v>291</v>
      </c>
      <c r="D27" s="230">
        <f>D18</f>
        <v>24255748.195454441</v>
      </c>
      <c r="E27" s="231"/>
      <c r="F27" s="229" t="s">
        <v>276</v>
      </c>
      <c r="G27" s="229"/>
      <c r="H27" s="229"/>
      <c r="I27" s="229"/>
    </row>
    <row r="28" spans="2:15" ht="5.25" customHeight="1">
      <c r="D28" s="17"/>
      <c r="E28" s="17"/>
    </row>
    <row r="29" spans="2:15" ht="6.75" customHeight="1">
      <c r="B29" s="227"/>
      <c r="C29" s="228"/>
      <c r="D29" s="228"/>
      <c r="E29" s="228"/>
      <c r="F29" s="228"/>
      <c r="G29" s="228"/>
      <c r="H29" s="228"/>
      <c r="I29" s="228"/>
    </row>
    <row r="30" spans="2:15" ht="15" customHeight="1">
      <c r="B30" s="24" t="s">
        <v>292</v>
      </c>
      <c r="C30" s="22" t="s">
        <v>278</v>
      </c>
      <c r="D30" s="22"/>
      <c r="E30" s="28" t="s">
        <v>293</v>
      </c>
      <c r="F30" s="22"/>
      <c r="G30" s="22"/>
      <c r="H30" s="22"/>
      <c r="I30" s="22"/>
    </row>
    <row r="31" spans="2:15" s="22" customFormat="1" ht="6.75" customHeight="1">
      <c r="B31" s="24"/>
      <c r="D31" s="25"/>
      <c r="E31" s="25"/>
    </row>
    <row r="32" spans="2:15" ht="15" customHeight="1">
      <c r="C32" s="20" t="s">
        <v>294</v>
      </c>
      <c r="D32" s="27">
        <f>BRC!G7</f>
        <v>7.6923076923076927E-2</v>
      </c>
      <c r="E32" s="26"/>
      <c r="F32" s="4" t="s">
        <v>295</v>
      </c>
    </row>
    <row r="33" spans="2:9" ht="15" customHeight="1">
      <c r="C33" s="20" t="s">
        <v>282</v>
      </c>
      <c r="D33" s="193">
        <f>D24</f>
        <v>171418715.16222221</v>
      </c>
      <c r="E33" s="26"/>
      <c r="F33" s="4" t="s">
        <v>290</v>
      </c>
    </row>
    <row r="34" spans="2:9" ht="6.75" customHeight="1">
      <c r="C34" s="20"/>
      <c r="D34" s="193"/>
    </row>
    <row r="35" spans="2:9" ht="15" customHeight="1" thickBot="1">
      <c r="B35" s="233"/>
      <c r="C35" s="233" t="s">
        <v>296</v>
      </c>
      <c r="D35" s="230">
        <f>D33*D32</f>
        <v>13186055.012478633</v>
      </c>
      <c r="E35" s="231"/>
      <c r="F35" s="229" t="s">
        <v>278</v>
      </c>
      <c r="G35" s="229"/>
      <c r="H35" s="229"/>
      <c r="I35" s="229"/>
    </row>
    <row r="36" spans="2:9">
      <c r="B36" s="29"/>
      <c r="C36" s="6"/>
      <c r="D36" s="6"/>
      <c r="E36" s="6"/>
      <c r="F36" s="6"/>
      <c r="G36" s="6"/>
      <c r="H36" s="6"/>
      <c r="I36" s="6"/>
    </row>
    <row r="37" spans="2:9" ht="15" customHeight="1"/>
    <row r="38" spans="2:9" ht="15" customHeight="1"/>
    <row r="39" spans="2:9" ht="21.75" customHeight="1">
      <c r="B39" s="7"/>
      <c r="C39" s="30"/>
      <c r="D39" s="30"/>
      <c r="E39" s="31"/>
      <c r="F39" s="30"/>
      <c r="G39" s="30"/>
      <c r="H39" s="32"/>
      <c r="I39" s="32"/>
    </row>
    <row r="40" spans="2:9" ht="15.75">
      <c r="B40" s="378" t="s">
        <v>297</v>
      </c>
      <c r="C40" s="378"/>
      <c r="D40" s="378"/>
      <c r="E40" s="378"/>
      <c r="F40" s="378"/>
      <c r="G40" s="378"/>
      <c r="H40" s="378"/>
      <c r="I40" s="378"/>
    </row>
    <row r="41" spans="2:9">
      <c r="B41" s="19"/>
      <c r="C41" s="19" t="s">
        <v>271</v>
      </c>
      <c r="D41" s="19" t="s">
        <v>272</v>
      </c>
      <c r="E41" s="19"/>
      <c r="F41" s="19" t="s">
        <v>143</v>
      </c>
      <c r="G41" s="21"/>
      <c r="H41" s="21"/>
      <c r="I41" s="21"/>
    </row>
    <row r="43" spans="2:9">
      <c r="B43" s="227"/>
      <c r="C43" s="228"/>
      <c r="D43" s="228"/>
      <c r="E43" s="228"/>
      <c r="F43" s="228"/>
      <c r="G43" s="228"/>
      <c r="H43" s="228"/>
      <c r="I43" s="228"/>
    </row>
    <row r="44" spans="2:9">
      <c r="B44" s="24" t="s">
        <v>273</v>
      </c>
      <c r="C44" s="22" t="s">
        <v>15</v>
      </c>
      <c r="D44" s="22"/>
      <c r="E44" s="22"/>
      <c r="F44" s="22" t="s">
        <v>274</v>
      </c>
      <c r="G44" s="22"/>
      <c r="H44" s="22"/>
      <c r="I44" s="22"/>
    </row>
    <row r="45" spans="2:9">
      <c r="B45" s="24"/>
      <c r="C45" s="22"/>
      <c r="D45" s="25"/>
      <c r="E45" s="25"/>
      <c r="F45" s="22"/>
      <c r="G45" s="22"/>
      <c r="H45" s="22"/>
      <c r="I45" s="22"/>
    </row>
    <row r="46" spans="2:9">
      <c r="C46" s="4" t="s">
        <v>275</v>
      </c>
      <c r="D46" s="193">
        <f>D63</f>
        <v>233604.40887915785</v>
      </c>
      <c r="E46" s="17"/>
      <c r="F46" s="4" t="s">
        <v>276</v>
      </c>
    </row>
    <row r="47" spans="2:9">
      <c r="C47" s="4" t="s">
        <v>277</v>
      </c>
      <c r="D47" s="193">
        <f>D71</f>
        <v>165091.45503827414</v>
      </c>
      <c r="E47" s="17"/>
      <c r="F47" s="4" t="s">
        <v>278</v>
      </c>
    </row>
    <row r="48" spans="2:9">
      <c r="D48" s="193"/>
      <c r="E48" s="17"/>
    </row>
    <row r="49" spans="2:9" ht="13.5" thickBot="1">
      <c r="B49" s="229"/>
      <c r="C49" s="229" t="s">
        <v>279</v>
      </c>
      <c r="D49" s="230">
        <f>SUM(D46:D47)</f>
        <v>398695.86391743203</v>
      </c>
      <c r="E49" s="231"/>
      <c r="F49" s="229" t="s">
        <v>15</v>
      </c>
      <c r="G49" s="229"/>
      <c r="H49" s="229"/>
      <c r="I49" s="232"/>
    </row>
    <row r="50" spans="2:9" ht="6" customHeight="1">
      <c r="D50" s="17"/>
      <c r="E50" s="17"/>
    </row>
    <row r="51" spans="2:9" ht="9" customHeight="1">
      <c r="B51" s="227"/>
      <c r="C51" s="228"/>
      <c r="D51" s="228"/>
      <c r="E51" s="228"/>
      <c r="F51" s="228"/>
      <c r="G51" s="228"/>
      <c r="H51" s="228"/>
      <c r="I51" s="228"/>
    </row>
    <row r="52" spans="2:9">
      <c r="B52" s="22" t="s">
        <v>280</v>
      </c>
      <c r="C52" s="22" t="s">
        <v>276</v>
      </c>
      <c r="D52" s="22"/>
      <c r="E52" s="22"/>
      <c r="F52" s="28" t="s">
        <v>281</v>
      </c>
      <c r="G52" s="22"/>
      <c r="H52" s="22"/>
      <c r="I52" s="22"/>
    </row>
    <row r="54" spans="2:9">
      <c r="C54" s="28" t="s">
        <v>275</v>
      </c>
      <c r="D54" s="194">
        <f>D55*D56</f>
        <v>233604.40887915785</v>
      </c>
      <c r="E54" s="26"/>
    </row>
    <row r="55" spans="2:9">
      <c r="C55" s="20" t="s">
        <v>282</v>
      </c>
      <c r="D55" s="193">
        <f>D62</f>
        <v>1650914.5503827413</v>
      </c>
      <c r="E55" s="26"/>
    </row>
    <row r="56" spans="2:9">
      <c r="C56" s="20" t="s">
        <v>283</v>
      </c>
      <c r="D56" s="33">
        <f>'Custo de Capital'!C9</f>
        <v>0.14149999999999999</v>
      </c>
      <c r="E56" s="26"/>
    </row>
    <row r="57" spans="2:9">
      <c r="C57" s="20"/>
      <c r="D57" s="26"/>
      <c r="E57" s="26"/>
    </row>
    <row r="58" spans="2:9">
      <c r="C58" s="28" t="s">
        <v>284</v>
      </c>
      <c r="D58" s="22"/>
      <c r="E58" s="22"/>
      <c r="F58" s="28" t="s">
        <v>285</v>
      </c>
      <c r="G58" s="22"/>
      <c r="H58" s="22"/>
      <c r="I58" s="22"/>
    </row>
    <row r="59" spans="2:9">
      <c r="C59" s="28"/>
      <c r="D59" s="22"/>
      <c r="E59" s="22"/>
      <c r="F59" s="22"/>
      <c r="G59" s="22"/>
      <c r="H59" s="22"/>
      <c r="I59" s="22"/>
    </row>
    <row r="60" spans="2:9">
      <c r="C60" s="28" t="s">
        <v>286</v>
      </c>
      <c r="D60" s="194">
        <f>BRC!D35</f>
        <v>1650914.5503827413</v>
      </c>
      <c r="E60" s="34"/>
      <c r="F60" s="22" t="s">
        <v>287</v>
      </c>
    </row>
    <row r="61" spans="2:9">
      <c r="C61" s="20" t="s">
        <v>288</v>
      </c>
      <c r="D61" s="193">
        <f>BRC!D36</f>
        <v>0</v>
      </c>
      <c r="E61" s="26"/>
      <c r="F61" s="4" t="s">
        <v>289</v>
      </c>
    </row>
    <row r="62" spans="2:9">
      <c r="C62" s="20" t="s">
        <v>282</v>
      </c>
      <c r="D62" s="193">
        <f>BRC!D37</f>
        <v>1650914.5503827413</v>
      </c>
      <c r="F62" s="4" t="s">
        <v>290</v>
      </c>
    </row>
    <row r="63" spans="2:9" ht="13.5" thickBot="1">
      <c r="B63" s="229"/>
      <c r="C63" s="233" t="s">
        <v>291</v>
      </c>
      <c r="D63" s="230">
        <f>D54</f>
        <v>233604.40887915785</v>
      </c>
      <c r="E63" s="231"/>
      <c r="F63" s="229" t="s">
        <v>276</v>
      </c>
      <c r="G63" s="229"/>
      <c r="H63" s="229"/>
      <c r="I63" s="229"/>
    </row>
    <row r="64" spans="2:9" ht="5.25" customHeight="1">
      <c r="D64" s="17"/>
      <c r="E64" s="17"/>
    </row>
    <row r="65" spans="2:9">
      <c r="B65" s="227"/>
      <c r="C65" s="228"/>
      <c r="D65" s="228"/>
      <c r="E65" s="228"/>
      <c r="F65" s="228"/>
      <c r="G65" s="228"/>
      <c r="H65" s="228"/>
      <c r="I65" s="228"/>
    </row>
    <row r="66" spans="2:9">
      <c r="B66" s="24" t="s">
        <v>292</v>
      </c>
      <c r="C66" s="22" t="s">
        <v>278</v>
      </c>
      <c r="D66" s="22"/>
      <c r="E66" s="28" t="s">
        <v>293</v>
      </c>
      <c r="F66" s="22"/>
      <c r="G66" s="22"/>
      <c r="H66" s="22"/>
      <c r="I66" s="22"/>
    </row>
    <row r="67" spans="2:9">
      <c r="B67" s="24"/>
      <c r="C67" s="22"/>
      <c r="D67" s="25"/>
      <c r="E67" s="25"/>
      <c r="F67" s="22"/>
      <c r="G67" s="22"/>
      <c r="H67" s="22"/>
      <c r="I67" s="22"/>
    </row>
    <row r="68" spans="2:9">
      <c r="C68" s="20" t="s">
        <v>294</v>
      </c>
      <c r="D68" s="27">
        <f>BRC!G30</f>
        <v>0.1</v>
      </c>
      <c r="E68" s="26"/>
      <c r="F68" s="4" t="s">
        <v>295</v>
      </c>
    </row>
    <row r="69" spans="2:9">
      <c r="C69" s="20" t="s">
        <v>282</v>
      </c>
      <c r="D69" s="193">
        <f>BRC!D37</f>
        <v>1650914.5503827413</v>
      </c>
      <c r="E69" s="26"/>
      <c r="F69" s="4" t="s">
        <v>290</v>
      </c>
    </row>
    <row r="70" spans="2:9">
      <c r="C70" s="20"/>
      <c r="D70" s="193"/>
    </row>
    <row r="71" spans="2:9" ht="13.5" thickBot="1">
      <c r="B71" s="233"/>
      <c r="C71" s="233" t="s">
        <v>296</v>
      </c>
      <c r="D71" s="230">
        <f>D69*D68</f>
        <v>165091.45503827414</v>
      </c>
      <c r="E71" s="231"/>
      <c r="F71" s="229" t="s">
        <v>278</v>
      </c>
      <c r="G71" s="229"/>
      <c r="H71" s="229"/>
      <c r="I71" s="229"/>
    </row>
    <row r="72" spans="2:9">
      <c r="B72" s="29"/>
      <c r="C72" s="6"/>
      <c r="D72" s="6"/>
      <c r="E72" s="6"/>
      <c r="F72" s="6"/>
      <c r="G72" s="6"/>
      <c r="H72" s="6"/>
      <c r="I72" s="6"/>
    </row>
  </sheetData>
  <mergeCells count="2">
    <mergeCell ref="B4:I4"/>
    <mergeCell ref="B40:I40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E10"/>
  <sheetViews>
    <sheetView showGridLines="0" zoomScale="110" zoomScaleNormal="110" workbookViewId="0">
      <selection activeCell="H6" sqref="H6"/>
    </sheetView>
  </sheetViews>
  <sheetFormatPr defaultRowHeight="15"/>
  <cols>
    <col min="1" max="1" width="5.85546875" customWidth="1"/>
    <col min="2" max="2" width="28.85546875" bestFit="1" customWidth="1"/>
    <col min="3" max="3" width="21" customWidth="1"/>
    <col min="4" max="4" width="23.7109375" customWidth="1"/>
    <col min="5" max="5" width="11.7109375" customWidth="1"/>
  </cols>
  <sheetData>
    <row r="3" spans="2:5" ht="16.5" thickBot="1">
      <c r="B3" s="271" t="s">
        <v>298</v>
      </c>
      <c r="C3" s="271"/>
      <c r="D3" s="271"/>
    </row>
    <row r="4" spans="2:5" ht="33" thickTop="1" thickBot="1">
      <c r="B4" s="201" t="s">
        <v>144</v>
      </c>
      <c r="C4" s="201" t="s">
        <v>53</v>
      </c>
      <c r="D4" s="201" t="s">
        <v>299</v>
      </c>
      <c r="E4" s="73"/>
    </row>
    <row r="5" spans="2:5" ht="15.75">
      <c r="B5" s="202" t="s">
        <v>300</v>
      </c>
      <c r="C5" s="203">
        <v>17.7</v>
      </c>
      <c r="D5" s="203">
        <v>34.5</v>
      </c>
    </row>
    <row r="6" spans="2:5" ht="15.75">
      <c r="B6" s="202" t="s">
        <v>301</v>
      </c>
      <c r="C6" s="203">
        <v>36.299999999999997</v>
      </c>
      <c r="D6" s="203">
        <v>35.200000000000003</v>
      </c>
    </row>
    <row r="7" spans="2:5" ht="15.75">
      <c r="B7" s="202" t="s">
        <v>302</v>
      </c>
      <c r="C7" s="203">
        <v>37.1</v>
      </c>
      <c r="D7" s="203">
        <v>31.6</v>
      </c>
    </row>
    <row r="8" spans="2:5" ht="16.5" thickBot="1">
      <c r="B8" s="202" t="s">
        <v>303</v>
      </c>
      <c r="C8" s="203">
        <v>33.6</v>
      </c>
      <c r="D8" s="203">
        <v>66.7</v>
      </c>
    </row>
    <row r="9" spans="2:5" ht="16.5" thickBot="1">
      <c r="B9" s="259" t="s">
        <v>304</v>
      </c>
      <c r="C9" s="260">
        <f>AVERAGE(C5:C8)</f>
        <v>31.174999999999997</v>
      </c>
      <c r="D9" s="260">
        <f>AVERAGE(D5:D8)</f>
        <v>42</v>
      </c>
    </row>
    <row r="10" spans="2:5" ht="15.75" thickTop="1"/>
  </sheetData>
  <mergeCells count="1">
    <mergeCell ref="B3:D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3:F18"/>
  <sheetViews>
    <sheetView showGridLines="0" zoomScale="110" zoomScaleNormal="110" workbookViewId="0">
      <selection activeCell="H6" sqref="H6"/>
    </sheetView>
  </sheetViews>
  <sheetFormatPr defaultRowHeight="15"/>
  <cols>
    <col min="1" max="1" width="3.5703125" customWidth="1"/>
    <col min="4" max="4" width="55.5703125" bestFit="1" customWidth="1"/>
    <col min="5" max="5" width="11.85546875" bestFit="1" customWidth="1"/>
  </cols>
  <sheetData>
    <row r="3" spans="2:6" ht="15.75">
      <c r="B3" s="271" t="s">
        <v>305</v>
      </c>
      <c r="C3" s="271"/>
      <c r="D3" s="271"/>
      <c r="E3" s="271"/>
    </row>
    <row r="4" spans="2:6" ht="15.75" thickBot="1">
      <c r="B4" s="261"/>
      <c r="C4" s="262"/>
      <c r="D4" s="262"/>
      <c r="E4" s="263"/>
    </row>
    <row r="5" spans="2:6" ht="15.75">
      <c r="B5" s="78" t="s">
        <v>306</v>
      </c>
      <c r="C5" s="79" t="s">
        <v>307</v>
      </c>
      <c r="D5" s="80" t="s">
        <v>308</v>
      </c>
      <c r="E5" s="81"/>
    </row>
    <row r="6" spans="2:6" ht="15.75">
      <c r="B6" s="82"/>
      <c r="C6" s="83" t="s">
        <v>309</v>
      </c>
      <c r="D6" s="84" t="s">
        <v>310</v>
      </c>
      <c r="E6" s="85">
        <v>4.9299999999999997E-2</v>
      </c>
    </row>
    <row r="7" spans="2:6" ht="15.75">
      <c r="B7" s="82"/>
      <c r="C7" s="83" t="s">
        <v>311</v>
      </c>
      <c r="D7" s="84" t="s">
        <v>312</v>
      </c>
      <c r="E7" s="85">
        <v>0.03</v>
      </c>
    </row>
    <row r="8" spans="2:6" ht="15.75">
      <c r="B8" s="82"/>
      <c r="C8" s="83" t="s">
        <v>313</v>
      </c>
      <c r="D8" s="84" t="s">
        <v>314</v>
      </c>
      <c r="E8" s="85">
        <v>4.8999999999999998E-3</v>
      </c>
    </row>
    <row r="9" spans="2:6" ht="15.75">
      <c r="B9" s="82"/>
      <c r="C9" s="83" t="s">
        <v>315</v>
      </c>
      <c r="D9" s="84" t="s">
        <v>316</v>
      </c>
      <c r="E9" s="85">
        <v>1.3899999999999999E-2</v>
      </c>
    </row>
    <row r="10" spans="2:6" ht="15.75">
      <c r="B10" s="82"/>
      <c r="C10" s="83" t="s">
        <v>317</v>
      </c>
      <c r="D10" s="84" t="s">
        <v>318</v>
      </c>
      <c r="E10" s="85">
        <v>9.7000000000000003E-3</v>
      </c>
    </row>
    <row r="11" spans="2:6" ht="15.75">
      <c r="B11" s="234"/>
      <c r="C11" s="235"/>
      <c r="D11" s="236" t="s">
        <v>319</v>
      </c>
      <c r="E11" s="237">
        <f>SUM(E6:E10)</f>
        <v>0.10779999999999999</v>
      </c>
    </row>
    <row r="12" spans="2:6" ht="15.75">
      <c r="B12" s="86"/>
      <c r="C12" s="87"/>
      <c r="D12" s="88"/>
      <c r="E12" s="89"/>
    </row>
    <row r="13" spans="2:6" ht="15.75">
      <c r="B13" s="238" t="s">
        <v>306</v>
      </c>
      <c r="C13" s="239" t="s">
        <v>320</v>
      </c>
      <c r="D13" s="240" t="s">
        <v>321</v>
      </c>
      <c r="E13" s="241"/>
    </row>
    <row r="14" spans="2:6" ht="15.75">
      <c r="B14" s="90"/>
      <c r="C14" s="91" t="s">
        <v>322</v>
      </c>
      <c r="D14" s="84" t="s">
        <v>323</v>
      </c>
      <c r="E14" s="85">
        <v>0.04</v>
      </c>
      <c r="F14" s="116"/>
    </row>
    <row r="15" spans="2:6" ht="15.75">
      <c r="B15" s="234"/>
      <c r="C15" s="242"/>
      <c r="D15" s="243" t="s">
        <v>324</v>
      </c>
      <c r="E15" s="237">
        <f>E14</f>
        <v>0.04</v>
      </c>
      <c r="F15" s="116"/>
    </row>
    <row r="16" spans="2:6" ht="15.75">
      <c r="B16" s="92"/>
      <c r="C16" s="93"/>
      <c r="D16" s="94"/>
      <c r="E16" s="95"/>
    </row>
    <row r="17" spans="2:5">
      <c r="B17" s="379" t="s">
        <v>325</v>
      </c>
      <c r="C17" s="380"/>
      <c r="D17" s="380"/>
      <c r="E17" s="381"/>
    </row>
    <row r="18" spans="2:5" ht="16.5" thickBot="1">
      <c r="B18" s="382" t="s">
        <v>326</v>
      </c>
      <c r="C18" s="383"/>
      <c r="D18" s="383"/>
      <c r="E18" s="244">
        <f>((1+E11)*(1+E15)-1)</f>
        <v>0.15211200000000002</v>
      </c>
    </row>
  </sheetData>
  <mergeCells count="3">
    <mergeCell ref="B3:E3"/>
    <mergeCell ref="B17:E17"/>
    <mergeCell ref="B18:D18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E18"/>
  <sheetViews>
    <sheetView showGridLines="0" zoomScale="110" zoomScaleNormal="110" workbookViewId="0">
      <selection activeCell="J16" sqref="J16"/>
    </sheetView>
  </sheetViews>
  <sheetFormatPr defaultRowHeight="15"/>
  <cols>
    <col min="1" max="1" width="3.42578125" customWidth="1"/>
    <col min="4" max="4" width="55.5703125" bestFit="1" customWidth="1"/>
    <col min="5" max="5" width="11.85546875" bestFit="1" customWidth="1"/>
  </cols>
  <sheetData>
    <row r="3" spans="2:5" ht="15.75">
      <c r="B3" s="271" t="s">
        <v>327</v>
      </c>
      <c r="C3" s="271"/>
      <c r="D3" s="271"/>
      <c r="E3" s="271"/>
    </row>
    <row r="4" spans="2:5" ht="15.75" thickBot="1">
      <c r="B4" s="261"/>
      <c r="C4" s="262"/>
      <c r="D4" s="262"/>
      <c r="E4" s="263"/>
    </row>
    <row r="5" spans="2:5" ht="15.75">
      <c r="B5" s="78" t="s">
        <v>306</v>
      </c>
      <c r="C5" s="79" t="s">
        <v>307</v>
      </c>
      <c r="D5" s="80" t="s">
        <v>308</v>
      </c>
      <c r="E5" s="81"/>
    </row>
    <row r="6" spans="2:5" ht="15.75">
      <c r="B6" s="82"/>
      <c r="C6" s="83" t="s">
        <v>309</v>
      </c>
      <c r="D6" s="84" t="s">
        <v>310</v>
      </c>
      <c r="E6" s="85">
        <v>4.9299999999999997E-2</v>
      </c>
    </row>
    <row r="7" spans="2:5" ht="15.75">
      <c r="B7" s="82"/>
      <c r="C7" s="83" t="s">
        <v>311</v>
      </c>
      <c r="D7" s="84" t="s">
        <v>312</v>
      </c>
      <c r="E7" s="85">
        <v>0.03</v>
      </c>
    </row>
    <row r="8" spans="2:5" ht="15.75">
      <c r="B8" s="82"/>
      <c r="C8" s="83" t="s">
        <v>313</v>
      </c>
      <c r="D8" s="84" t="s">
        <v>314</v>
      </c>
      <c r="E8" s="85">
        <v>4.8999999999999998E-3</v>
      </c>
    </row>
    <row r="9" spans="2:5" ht="15.75">
      <c r="B9" s="82"/>
      <c r="C9" s="83" t="s">
        <v>315</v>
      </c>
      <c r="D9" s="84" t="s">
        <v>316</v>
      </c>
      <c r="E9" s="85">
        <v>1.3899999999999999E-2</v>
      </c>
    </row>
    <row r="10" spans="2:5" ht="15.75">
      <c r="B10" s="82"/>
      <c r="C10" s="83" t="s">
        <v>317</v>
      </c>
      <c r="D10" s="84" t="s">
        <v>318</v>
      </c>
      <c r="E10" s="85">
        <v>9.7000000000000003E-3</v>
      </c>
    </row>
    <row r="11" spans="2:5" ht="15.75">
      <c r="B11" s="234"/>
      <c r="C11" s="235"/>
      <c r="D11" s="236" t="s">
        <v>319</v>
      </c>
      <c r="E11" s="237">
        <f>SUM(E6:E10)</f>
        <v>0.10779999999999999</v>
      </c>
    </row>
    <row r="12" spans="2:5" ht="15.75">
      <c r="B12" s="86"/>
      <c r="C12" s="87"/>
      <c r="D12" s="88"/>
      <c r="E12" s="89"/>
    </row>
    <row r="13" spans="2:5" ht="15.75">
      <c r="B13" s="238" t="s">
        <v>306</v>
      </c>
      <c r="C13" s="239" t="s">
        <v>320</v>
      </c>
      <c r="D13" s="240" t="s">
        <v>321</v>
      </c>
      <c r="E13" s="241"/>
    </row>
    <row r="14" spans="2:5" ht="15.75">
      <c r="B14" s="90"/>
      <c r="C14" s="91" t="s">
        <v>322</v>
      </c>
      <c r="D14" s="84" t="s">
        <v>323</v>
      </c>
      <c r="E14" s="85">
        <v>6.7400000000000002E-2</v>
      </c>
    </row>
    <row r="15" spans="2:5" ht="15.75">
      <c r="B15" s="234"/>
      <c r="C15" s="242"/>
      <c r="D15" s="243" t="s">
        <v>324</v>
      </c>
      <c r="E15" s="237">
        <f>SUM(E14)</f>
        <v>6.7400000000000002E-2</v>
      </c>
    </row>
    <row r="16" spans="2:5" ht="15.75">
      <c r="B16" s="92"/>
      <c r="C16" s="93"/>
      <c r="D16" s="94"/>
      <c r="E16" s="95"/>
    </row>
    <row r="17" spans="2:5">
      <c r="B17" s="379" t="s">
        <v>328</v>
      </c>
      <c r="C17" s="380"/>
      <c r="D17" s="380"/>
      <c r="E17" s="381"/>
    </row>
    <row r="18" spans="2:5" ht="16.5" thickBot="1">
      <c r="B18" s="382" t="s">
        <v>326</v>
      </c>
      <c r="C18" s="383"/>
      <c r="D18" s="383"/>
      <c r="E18" s="244">
        <f>((1+E11)*(1+E15)-1)</f>
        <v>0.18246571999999972</v>
      </c>
    </row>
  </sheetData>
  <mergeCells count="3">
    <mergeCell ref="B3:E3"/>
    <mergeCell ref="B17:E17"/>
    <mergeCell ref="B18:D18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F15"/>
  <sheetViews>
    <sheetView showGridLines="0" workbookViewId="0">
      <selection activeCell="H17" sqref="H17"/>
    </sheetView>
  </sheetViews>
  <sheetFormatPr defaultRowHeight="15"/>
  <cols>
    <col min="2" max="2" width="5" customWidth="1"/>
    <col min="3" max="3" width="71.42578125" customWidth="1"/>
    <col min="4" max="4" width="14.42578125" customWidth="1"/>
    <col min="5" max="5" width="19.28515625" customWidth="1"/>
  </cols>
  <sheetData>
    <row r="2" spans="2:6">
      <c r="B2" s="183"/>
      <c r="C2" s="183"/>
      <c r="D2" s="183"/>
      <c r="E2" s="183"/>
    </row>
    <row r="3" spans="2:6" ht="16.5" thickBot="1">
      <c r="B3" s="384" t="s">
        <v>329</v>
      </c>
      <c r="C3" s="384"/>
      <c r="D3" s="384"/>
      <c r="E3" s="384"/>
      <c r="F3" s="177"/>
    </row>
    <row r="4" spans="2:6" ht="32.25" thickBot="1">
      <c r="B4" s="264"/>
      <c r="C4" s="265" t="s">
        <v>62</v>
      </c>
      <c r="D4" s="266" t="s">
        <v>63</v>
      </c>
      <c r="E4" s="266" t="s">
        <v>330</v>
      </c>
    </row>
    <row r="5" spans="2:6" ht="16.5" thickTop="1">
      <c r="B5" s="184">
        <v>1</v>
      </c>
      <c r="C5" s="184" t="s">
        <v>331</v>
      </c>
      <c r="D5" s="185" t="s">
        <v>163</v>
      </c>
      <c r="E5" s="186">
        <f>'Preço da Coleta'!C16</f>
        <v>149.99577658199996</v>
      </c>
    </row>
    <row r="6" spans="2:6" ht="15.75">
      <c r="B6" s="184">
        <v>2</v>
      </c>
      <c r="C6" s="184" t="s">
        <v>332</v>
      </c>
      <c r="D6" s="185" t="s">
        <v>163</v>
      </c>
      <c r="E6" s="186">
        <f>'Preço Disp Final'!C22</f>
        <v>91.988423053643999</v>
      </c>
    </row>
    <row r="7" spans="2:6" ht="19.5" customHeight="1">
      <c r="B7" s="184">
        <v>3</v>
      </c>
      <c r="C7" s="184" t="s">
        <v>333</v>
      </c>
      <c r="D7" s="185" t="s">
        <v>163</v>
      </c>
      <c r="E7" s="186">
        <f>'Preço do RCC'!C24</f>
        <v>14.3363472513708</v>
      </c>
    </row>
    <row r="8" spans="2:6" ht="15.75">
      <c r="B8" s="184">
        <v>4</v>
      </c>
      <c r="C8" s="184" t="s">
        <v>334</v>
      </c>
      <c r="D8" s="185" t="s">
        <v>163</v>
      </c>
      <c r="E8" s="186">
        <f>'Preço do RCC'!C41</f>
        <v>26.268153600000002</v>
      </c>
    </row>
    <row r="9" spans="2:6" ht="30.75">
      <c r="B9" s="184">
        <v>5</v>
      </c>
      <c r="C9" s="187" t="s">
        <v>335</v>
      </c>
      <c r="D9" s="185" t="s">
        <v>68</v>
      </c>
      <c r="E9" s="191">
        <f>Preço_Eventos!G12</f>
        <v>2655.2918098745995</v>
      </c>
    </row>
    <row r="10" spans="2:6" ht="30.75" customHeight="1">
      <c r="B10" s="184">
        <v>6</v>
      </c>
      <c r="C10" s="187" t="s">
        <v>336</v>
      </c>
      <c r="D10" s="185" t="s">
        <v>68</v>
      </c>
      <c r="E10" s="191">
        <f>Preço_Eventos!G13</f>
        <v>4085.064322883999</v>
      </c>
    </row>
    <row r="11" spans="2:6" ht="30.75" customHeight="1">
      <c r="B11" s="184">
        <v>7</v>
      </c>
      <c r="C11" s="187" t="s">
        <v>337</v>
      </c>
      <c r="D11" s="185" t="s">
        <v>68</v>
      </c>
      <c r="E11" s="191">
        <f>Preço_Eventos!G14</f>
        <v>3540.3005701058032</v>
      </c>
    </row>
    <row r="12" spans="2:6" ht="34.5" customHeight="1">
      <c r="B12" s="184">
        <v>8</v>
      </c>
      <c r="C12" s="187" t="s">
        <v>338</v>
      </c>
      <c r="D12" s="185" t="s">
        <v>68</v>
      </c>
      <c r="E12" s="191">
        <f>Preço_Eventos!G15</f>
        <v>5446.616261701236</v>
      </c>
    </row>
    <row r="13" spans="2:6" ht="32.25" customHeight="1">
      <c r="B13" s="184">
        <v>9</v>
      </c>
      <c r="C13" s="187" t="s">
        <v>339</v>
      </c>
      <c r="D13" s="185" t="s">
        <v>68</v>
      </c>
      <c r="E13" s="191">
        <f>Preço_Eventos!G16</f>
        <v>2920.8209908620597</v>
      </c>
    </row>
    <row r="14" spans="2:6" ht="48.75" customHeight="1" thickBot="1">
      <c r="B14" s="188">
        <v>10</v>
      </c>
      <c r="C14" s="188" t="s">
        <v>340</v>
      </c>
      <c r="D14" s="189" t="s">
        <v>68</v>
      </c>
      <c r="E14" s="192">
        <f>Preço_Eventos!G17</f>
        <v>4493.570755172399</v>
      </c>
    </row>
    <row r="15" spans="2:6" ht="15.75" thickTop="1"/>
  </sheetData>
  <mergeCells count="1">
    <mergeCell ref="B3:E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H18"/>
  <sheetViews>
    <sheetView showGridLines="0" zoomScale="150" zoomScaleNormal="150" workbookViewId="0"/>
  </sheetViews>
  <sheetFormatPr defaultColWidth="0" defaultRowHeight="15"/>
  <cols>
    <col min="1" max="1" width="1.7109375" style="2" customWidth="1"/>
    <col min="2" max="2" width="45.28515625" style="2" customWidth="1"/>
    <col min="3" max="3" width="29.7109375" style="2" customWidth="1"/>
    <col min="4" max="4" width="1.7109375" customWidth="1"/>
    <col min="5" max="5" width="41.42578125" style="2" bestFit="1" customWidth="1"/>
    <col min="6" max="8" width="20.7109375" style="2" customWidth="1"/>
    <col min="9" max="10" width="9.140625" style="2" customWidth="1"/>
    <col min="11" max="16384" width="9.140625" style="2" hidden="1"/>
  </cols>
  <sheetData>
    <row r="1" spans="1:684" ht="9.9499999999999993" customHeight="1"/>
    <row r="2" spans="1:684" s="8" customFormat="1" ht="24.95" customHeight="1">
      <c r="A2" s="3"/>
      <c r="B2" s="267" t="s">
        <v>20</v>
      </c>
      <c r="C2" s="267"/>
      <c r="F2" s="10"/>
      <c r="G2" s="10"/>
      <c r="H2" s="10"/>
      <c r="I2" s="10"/>
      <c r="J2" s="10"/>
      <c r="K2" s="37"/>
      <c r="L2" s="3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</row>
    <row r="3" spans="1:684" s="18" customFormat="1" ht="21" customHeight="1">
      <c r="A3" s="3"/>
      <c r="B3" s="7"/>
      <c r="C3" s="30"/>
      <c r="F3" s="3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4"/>
    </row>
    <row r="5" spans="1:684">
      <c r="B5" s="268" t="s">
        <v>21</v>
      </c>
      <c r="C5" s="268"/>
    </row>
    <row r="6" spans="1:684" s="3" customFormat="1" ht="15" customHeight="1">
      <c r="C6" s="40"/>
    </row>
    <row r="7" spans="1:684" s="3" customFormat="1" ht="15" customHeight="1">
      <c r="B7" s="246" t="s">
        <v>22</v>
      </c>
      <c r="C7" s="245" t="s">
        <v>23</v>
      </c>
    </row>
    <row r="8" spans="1:684" s="3" customFormat="1" ht="7.5" customHeight="1">
      <c r="C8" s="40"/>
    </row>
    <row r="9" spans="1:684" s="3" customFormat="1" ht="15" customHeight="1">
      <c r="B9" s="46" t="s">
        <v>24</v>
      </c>
      <c r="C9" s="51"/>
    </row>
    <row r="10" spans="1:684" s="3" customFormat="1" ht="12.75">
      <c r="B10" s="35" t="s">
        <v>25</v>
      </c>
      <c r="C10" s="77">
        <v>93.25</v>
      </c>
      <c r="D10" s="76"/>
      <c r="E10" s="76"/>
    </row>
    <row r="11" spans="1:684" s="3" customFormat="1" ht="12.75">
      <c r="B11" s="41" t="s">
        <v>26</v>
      </c>
      <c r="C11" s="77">
        <f>0.8*Distâncias!D9</f>
        <v>33.6</v>
      </c>
    </row>
    <row r="12" spans="1:684" s="3" customFormat="1" ht="12.75">
      <c r="B12" s="41" t="s">
        <v>27</v>
      </c>
      <c r="C12" s="77">
        <f>SUM(C10:C11)</f>
        <v>126.85</v>
      </c>
    </row>
    <row r="13" spans="1:684" s="3" customFormat="1" ht="15" customHeight="1">
      <c r="B13" s="46" t="s">
        <v>28</v>
      </c>
      <c r="C13" s="51"/>
      <c r="E13" s="47"/>
    </row>
    <row r="14" spans="1:684" s="3" customFormat="1" ht="15" customHeight="1">
      <c r="B14" s="117" t="s">
        <v>29</v>
      </c>
      <c r="C14" s="118">
        <f>BDI_Geral!E18</f>
        <v>0.18246571999999972</v>
      </c>
    </row>
    <row r="15" spans="1:684" s="3" customFormat="1" ht="7.5" customHeight="1">
      <c r="C15" s="40"/>
    </row>
    <row r="16" spans="1:684" s="3" customFormat="1" ht="15" customHeight="1" thickBot="1">
      <c r="B16" s="247" t="s">
        <v>30</v>
      </c>
      <c r="C16" s="248">
        <f>C12*(1+C14)</f>
        <v>149.99577658199996</v>
      </c>
      <c r="E16" s="16"/>
    </row>
    <row r="17" spans="2:2" s="3" customFormat="1" ht="7.5" customHeight="1"/>
    <row r="18" spans="2:2" s="3" customFormat="1" ht="7.5" customHeight="1">
      <c r="B18" s="11"/>
    </row>
  </sheetData>
  <mergeCells count="2">
    <mergeCell ref="B5:C5"/>
    <mergeCell ref="B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H16"/>
  <sheetViews>
    <sheetView showGridLines="0" zoomScale="160" zoomScaleNormal="160" workbookViewId="0"/>
  </sheetViews>
  <sheetFormatPr defaultColWidth="0" defaultRowHeight="15"/>
  <cols>
    <col min="1" max="1" width="1.7109375" style="2" customWidth="1"/>
    <col min="2" max="2" width="51.28515625" style="2" customWidth="1"/>
    <col min="3" max="3" width="22.140625" style="2" customWidth="1"/>
    <col min="4" max="4" width="1.7109375" customWidth="1"/>
    <col min="5" max="5" width="41.42578125" style="2" bestFit="1" customWidth="1"/>
    <col min="6" max="8" width="20.7109375" style="2" customWidth="1"/>
    <col min="9" max="10" width="9.140625" style="2" customWidth="1"/>
    <col min="11" max="16384" width="9.140625" style="2" hidden="1"/>
  </cols>
  <sheetData>
    <row r="1" spans="1:684" ht="9.9499999999999993" customHeight="1"/>
    <row r="2" spans="1:684" s="8" customFormat="1" ht="18.75" customHeight="1">
      <c r="A2" s="3"/>
      <c r="B2" s="267" t="s">
        <v>31</v>
      </c>
      <c r="C2" s="267"/>
      <c r="F2" s="10"/>
      <c r="G2" s="10"/>
      <c r="H2" s="10"/>
      <c r="I2" s="10"/>
      <c r="J2" s="10"/>
      <c r="K2" s="37"/>
      <c r="L2" s="3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</row>
    <row r="3" spans="1:684" s="18" customFormat="1" ht="17.25" customHeight="1">
      <c r="A3" s="3"/>
      <c r="B3" s="7"/>
      <c r="C3" s="30"/>
      <c r="F3" s="3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4"/>
    </row>
    <row r="5" spans="1:684">
      <c r="B5" s="268" t="s">
        <v>32</v>
      </c>
      <c r="C5" s="268"/>
    </row>
    <row r="6" spans="1:684" s="3" customFormat="1" ht="7.5" customHeight="1"/>
    <row r="7" spans="1:684" s="3" customFormat="1" ht="2.25" customHeight="1">
      <c r="C7" s="40"/>
    </row>
    <row r="8" spans="1:684" s="3" customFormat="1" ht="15" customHeight="1">
      <c r="B8" s="46" t="s">
        <v>24</v>
      </c>
      <c r="C8" s="115">
        <f>'Custos operacionais '!H21</f>
        <v>10703444.639999999</v>
      </c>
    </row>
    <row r="9" spans="1:684" s="3" customFormat="1" ht="12.75">
      <c r="B9" s="35" t="s">
        <v>33</v>
      </c>
      <c r="C9" s="114">
        <f>'Custos operacionais '!E22</f>
        <v>156000</v>
      </c>
    </row>
    <row r="10" spans="1:684" s="3" customFormat="1" ht="12.75">
      <c r="B10" s="46" t="s">
        <v>34</v>
      </c>
      <c r="C10" s="115">
        <f>C8/C9</f>
        <v>68.611824615384606</v>
      </c>
    </row>
    <row r="11" spans="1:684" s="3" customFormat="1" ht="15" customHeight="1">
      <c r="B11" s="46" t="s">
        <v>35</v>
      </c>
      <c r="C11" s="51"/>
      <c r="E11" s="47"/>
    </row>
    <row r="12" spans="1:684" s="3" customFormat="1" ht="15" customHeight="1">
      <c r="B12" s="48" t="s">
        <v>36</v>
      </c>
      <c r="C12" s="96">
        <f>BDI_Geral!E18</f>
        <v>0.18246571999999972</v>
      </c>
    </row>
    <row r="13" spans="1:684" s="3" customFormat="1" ht="4.5" customHeight="1">
      <c r="C13" s="40"/>
    </row>
    <row r="14" spans="1:684" s="3" customFormat="1" ht="15" customHeight="1" thickBot="1">
      <c r="B14" s="247" t="s">
        <v>37</v>
      </c>
      <c r="C14" s="248">
        <f>C10*(1+C12)</f>
        <v>81.131130594344455</v>
      </c>
      <c r="E14" s="16"/>
    </row>
    <row r="15" spans="1:684" s="3" customFormat="1" ht="7.5" customHeight="1"/>
    <row r="16" spans="1:684" s="3" customFormat="1" ht="7.5" customHeight="1">
      <c r="B16" s="11"/>
    </row>
  </sheetData>
  <mergeCells count="2">
    <mergeCell ref="B5:C5"/>
    <mergeCell ref="B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theme="3"/>
    <pageSetUpPr fitToPage="1"/>
  </sheetPr>
  <dimension ref="A1:ZH24"/>
  <sheetViews>
    <sheetView showGridLines="0" zoomScale="145" zoomScaleNormal="145" workbookViewId="0"/>
  </sheetViews>
  <sheetFormatPr defaultColWidth="0" defaultRowHeight="15"/>
  <cols>
    <col min="1" max="1" width="1.7109375" style="2" customWidth="1"/>
    <col min="2" max="2" width="48.28515625" style="2" customWidth="1"/>
    <col min="3" max="3" width="25.85546875" style="2" customWidth="1"/>
    <col min="4" max="4" width="1.7109375" customWidth="1"/>
    <col min="5" max="5" width="41.42578125" style="2" bestFit="1" customWidth="1"/>
    <col min="6" max="8" width="20.7109375" style="2" customWidth="1"/>
    <col min="9" max="10" width="9.140625" style="2" customWidth="1"/>
    <col min="11" max="16384" width="9.140625" style="2" hidden="1"/>
  </cols>
  <sheetData>
    <row r="1" spans="1:684" ht="9.9499999999999993" customHeight="1"/>
    <row r="2" spans="1:684" s="8" customFormat="1" ht="24.95" customHeight="1">
      <c r="A2" s="3"/>
      <c r="B2" s="267" t="s">
        <v>38</v>
      </c>
      <c r="C2" s="267"/>
      <c r="F2" s="10"/>
      <c r="G2" s="10"/>
      <c r="H2" s="10"/>
      <c r="I2" s="10"/>
      <c r="J2" s="10"/>
      <c r="K2" s="37"/>
      <c r="L2" s="3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</row>
    <row r="3" spans="1:684" s="18" customFormat="1" ht="21.75" customHeight="1">
      <c r="A3" s="3"/>
      <c r="B3" s="7"/>
      <c r="C3" s="30"/>
      <c r="F3" s="3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4"/>
    </row>
    <row r="5" spans="1:684">
      <c r="B5" s="268" t="s">
        <v>39</v>
      </c>
      <c r="C5" s="268"/>
    </row>
    <row r="7" spans="1:684" s="3" customFormat="1" ht="15" customHeight="1">
      <c r="B7" s="246" t="s">
        <v>40</v>
      </c>
      <c r="C7" s="245" t="s">
        <v>23</v>
      </c>
    </row>
    <row r="8" spans="1:684" s="3" customFormat="1" ht="7.5" customHeight="1">
      <c r="C8" s="40"/>
    </row>
    <row r="9" spans="1:684" s="3" customFormat="1" ht="15" customHeight="1">
      <c r="B9" s="46" t="s">
        <v>41</v>
      </c>
      <c r="C9" s="51">
        <f>'Custos operacionais '!H5</f>
        <v>27710328.886666667</v>
      </c>
    </row>
    <row r="10" spans="1:684" s="3" customFormat="1" ht="15" customHeight="1">
      <c r="B10" s="48" t="s">
        <v>41</v>
      </c>
      <c r="C10" s="49">
        <f>C9</f>
        <v>27710328.886666667</v>
      </c>
    </row>
    <row r="11" spans="1:684" s="3" customFormat="1" ht="7.5" customHeight="1">
      <c r="B11" s="41"/>
      <c r="C11" s="49"/>
    </row>
    <row r="12" spans="1:684" s="3" customFormat="1" ht="15" customHeight="1">
      <c r="B12" s="46" t="s">
        <v>42</v>
      </c>
      <c r="C12" s="51">
        <f>SUM(C13:C15)</f>
        <v>37441803.207933076</v>
      </c>
      <c r="E12" s="16"/>
    </row>
    <row r="13" spans="1:684" s="3" customFormat="1" ht="15" customHeight="1">
      <c r="B13" s="48" t="s">
        <v>43</v>
      </c>
      <c r="C13" s="49">
        <f>'Rem. Adequada'!D10</f>
        <v>24255748.195454441</v>
      </c>
    </row>
    <row r="14" spans="1:684" s="3" customFormat="1" ht="15" customHeight="1">
      <c r="A14" s="3" t="s">
        <v>44</v>
      </c>
      <c r="B14" s="48" t="s">
        <v>45</v>
      </c>
      <c r="C14" s="98">
        <f>'Rem. Adequada'!D11</f>
        <v>13186055.012478633</v>
      </c>
    </row>
    <row r="15" spans="1:684" s="3" customFormat="1" ht="7.5" customHeight="1">
      <c r="C15" s="40"/>
    </row>
    <row r="16" spans="1:684" s="3" customFormat="1" ht="15" customHeight="1">
      <c r="B16" s="246" t="s">
        <v>46</v>
      </c>
      <c r="C16" s="249">
        <f>SUM(C12+C9)</f>
        <v>65152132.094599739</v>
      </c>
    </row>
    <row r="17" spans="2:5" s="3" customFormat="1" ht="7.5" customHeight="1">
      <c r="C17" s="40"/>
    </row>
    <row r="18" spans="2:5" s="3" customFormat="1" ht="15" customHeight="1">
      <c r="B18" s="11" t="s">
        <v>47</v>
      </c>
      <c r="C18" s="49">
        <f>68000*12</f>
        <v>816000</v>
      </c>
      <c r="E18" s="3" t="s">
        <v>48</v>
      </c>
    </row>
    <row r="19" spans="2:5" s="3" customFormat="1" ht="15" customHeight="1">
      <c r="B19" s="11" t="s">
        <v>49</v>
      </c>
      <c r="C19" s="97">
        <f>C16/C18</f>
        <v>79.843299135538899</v>
      </c>
    </row>
    <row r="20" spans="2:5" s="3" customFormat="1" ht="15" customHeight="1">
      <c r="B20" s="246" t="s">
        <v>50</v>
      </c>
      <c r="C20" s="250">
        <f>BDI_DispF!E18</f>
        <v>0.15211200000000002</v>
      </c>
    </row>
    <row r="21" spans="2:5" s="3" customFormat="1" ht="7.5" customHeight="1">
      <c r="B21" s="11"/>
      <c r="C21" s="49"/>
    </row>
    <row r="22" spans="2:5" s="3" customFormat="1" ht="15" customHeight="1" thickBot="1">
      <c r="B22" s="247" t="s">
        <v>51</v>
      </c>
      <c r="C22" s="251">
        <f>C19*(1+C20)</f>
        <v>91.988423053643999</v>
      </c>
      <c r="E22" s="16"/>
    </row>
    <row r="23" spans="2:5" s="3" customFormat="1" ht="7.5" customHeight="1"/>
    <row r="24" spans="2:5" s="3" customFormat="1" ht="7.5" customHeight="1">
      <c r="B24" s="11"/>
    </row>
  </sheetData>
  <mergeCells count="2">
    <mergeCell ref="B5:C5"/>
    <mergeCell ref="B2:C2"/>
  </mergeCells>
  <pageMargins left="0.75" right="0.75" top="1" bottom="1" header="0.5" footer="0.5"/>
  <pageSetup paperSize="9" scale="7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1"/>
  <sheetViews>
    <sheetView showGridLines="0" tabSelected="1" zoomScale="120" zoomScaleNormal="120" workbookViewId="0">
      <selection activeCell="C36" sqref="C36"/>
    </sheetView>
  </sheetViews>
  <sheetFormatPr defaultColWidth="0" defaultRowHeight="15"/>
  <cols>
    <col min="1" max="1" width="1.7109375" style="2" customWidth="1"/>
    <col min="2" max="2" width="54" style="2" customWidth="1"/>
    <col min="3" max="3" width="28.85546875" style="2" customWidth="1"/>
    <col min="4" max="4" width="1.7109375" customWidth="1"/>
    <col min="5" max="6" width="20.7109375" style="2" customWidth="1"/>
    <col min="7" max="8" width="9.140625" style="2" customWidth="1"/>
    <col min="9" max="10" width="0" style="2" hidden="1" customWidth="1"/>
    <col min="11" max="16384" width="9.140625" style="2" hidden="1"/>
  </cols>
  <sheetData>
    <row r="1" spans="2:3" ht="9.9499999999999993" customHeight="1"/>
    <row r="3" spans="2:3" ht="15.75">
      <c r="B3" s="267" t="s">
        <v>52</v>
      </c>
      <c r="C3" s="267"/>
    </row>
    <row r="4" spans="2:3" ht="15.75">
      <c r="B4" s="267" t="s">
        <v>53</v>
      </c>
      <c r="C4" s="267"/>
    </row>
    <row r="5" spans="2:3" ht="23.25" customHeight="1">
      <c r="B5" s="7"/>
      <c r="C5" s="30"/>
    </row>
    <row r="7" spans="2:3">
      <c r="B7" s="268" t="s">
        <v>54</v>
      </c>
      <c r="C7" s="268"/>
    </row>
    <row r="9" spans="2:3">
      <c r="B9" s="246" t="s">
        <v>55</v>
      </c>
      <c r="C9" s="245" t="s">
        <v>23</v>
      </c>
    </row>
    <row r="10" spans="2:3">
      <c r="B10" s="3"/>
      <c r="C10" s="40"/>
    </row>
    <row r="11" spans="2:3">
      <c r="B11" s="46" t="s">
        <v>41</v>
      </c>
      <c r="C11" s="179">
        <f>'Custos operacionais '!H33</f>
        <v>15092650.452469997</v>
      </c>
    </row>
    <row r="12" spans="2:3">
      <c r="B12" s="48" t="s">
        <v>41</v>
      </c>
      <c r="C12" s="180">
        <f>C11</f>
        <v>15092650.452469997</v>
      </c>
    </row>
    <row r="13" spans="2:3">
      <c r="B13" s="41"/>
      <c r="C13" s="180"/>
    </row>
    <row r="14" spans="2:3">
      <c r="B14" s="46" t="s">
        <v>42</v>
      </c>
      <c r="C14" s="179">
        <f>SUM(C15:C17)</f>
        <v>398695.86391743203</v>
      </c>
    </row>
    <row r="15" spans="2:3">
      <c r="B15" s="48" t="s">
        <v>43</v>
      </c>
      <c r="C15" s="180">
        <f>'Rem. Adequada'!D63</f>
        <v>233604.40887915785</v>
      </c>
    </row>
    <row r="16" spans="2:3">
      <c r="B16" s="48" t="s">
        <v>45</v>
      </c>
      <c r="C16" s="181">
        <f>'Rem. Adequada'!D71</f>
        <v>165091.45503827414</v>
      </c>
    </row>
    <row r="17" spans="2:6">
      <c r="B17" s="3"/>
      <c r="C17" s="40"/>
    </row>
    <row r="18" spans="2:6">
      <c r="B18" s="246" t="s">
        <v>46</v>
      </c>
      <c r="C18" s="252">
        <f>SUM(C14+C11)</f>
        <v>15491346.31638743</v>
      </c>
    </row>
    <row r="19" spans="2:6">
      <c r="B19" s="3"/>
      <c r="C19" s="40"/>
    </row>
    <row r="20" spans="2:6">
      <c r="B20" s="11" t="s">
        <v>47</v>
      </c>
      <c r="C20" s="180">
        <v>1244931.2000000002</v>
      </c>
      <c r="F20" s="190"/>
    </row>
    <row r="21" spans="2:6">
      <c r="B21" s="11" t="s">
        <v>49</v>
      </c>
      <c r="C21" s="97">
        <f>C18/C20</f>
        <v>12.443536089695099</v>
      </c>
    </row>
    <row r="22" spans="2:6">
      <c r="B22" s="246" t="s">
        <v>50</v>
      </c>
      <c r="C22" s="250">
        <f>BDI_DispF!E18</f>
        <v>0.15211200000000002</v>
      </c>
    </row>
    <row r="23" spans="2:6">
      <c r="B23" s="11"/>
      <c r="C23" s="49"/>
    </row>
    <row r="24" spans="2:6" ht="15.75" thickBot="1">
      <c r="B24" s="247" t="s">
        <v>56</v>
      </c>
      <c r="C24" s="251">
        <f>C21*(1+C22)</f>
        <v>14.3363472513708</v>
      </c>
    </row>
    <row r="27" spans="2:6" ht="15.75">
      <c r="B27" s="267" t="s">
        <v>57</v>
      </c>
      <c r="C27" s="267"/>
    </row>
    <row r="28" spans="2:6" ht="15.75">
      <c r="B28" s="267" t="s">
        <v>53</v>
      </c>
      <c r="C28" s="267"/>
    </row>
    <row r="29" spans="2:6" ht="22.5" customHeight="1">
      <c r="B29" s="7"/>
      <c r="C29" s="30"/>
    </row>
    <row r="31" spans="2:6">
      <c r="B31" s="268" t="s">
        <v>54</v>
      </c>
      <c r="C31" s="268"/>
    </row>
    <row r="33" spans="2:3">
      <c r="B33" s="246" t="s">
        <v>58</v>
      </c>
      <c r="C33" s="245" t="s">
        <v>59</v>
      </c>
    </row>
    <row r="34" spans="2:3">
      <c r="B34" s="3"/>
      <c r="C34" s="40"/>
    </row>
    <row r="35" spans="2:3">
      <c r="B35" s="46" t="s">
        <v>41</v>
      </c>
      <c r="C35" s="179"/>
    </row>
    <row r="36" spans="2:3">
      <c r="B36" s="48" t="s">
        <v>60</v>
      </c>
      <c r="C36" s="180">
        <v>22.8</v>
      </c>
    </row>
    <row r="37" spans="2:3">
      <c r="B37" s="41"/>
      <c r="C37" s="180"/>
    </row>
    <row r="38" spans="2:3">
      <c r="B38" s="11" t="s">
        <v>49</v>
      </c>
      <c r="C38" s="97">
        <f>C36</f>
        <v>22.8</v>
      </c>
    </row>
    <row r="39" spans="2:3">
      <c r="B39" s="246" t="s">
        <v>50</v>
      </c>
      <c r="C39" s="250">
        <f>C22</f>
        <v>0.15211200000000002</v>
      </c>
    </row>
    <row r="40" spans="2:3">
      <c r="B40" s="11"/>
      <c r="C40" s="49"/>
    </row>
    <row r="41" spans="2:3" ht="15.75" thickBot="1">
      <c r="B41" s="247" t="s">
        <v>56</v>
      </c>
      <c r="C41" s="251">
        <f>C38*(1+C39)</f>
        <v>26.268153600000002</v>
      </c>
    </row>
  </sheetData>
  <mergeCells count="6">
    <mergeCell ref="B7:C7"/>
    <mergeCell ref="B31:C31"/>
    <mergeCell ref="B3:C3"/>
    <mergeCell ref="B4:C4"/>
    <mergeCell ref="B28:C28"/>
    <mergeCell ref="B27:C2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8"/>
  <sheetViews>
    <sheetView showGridLines="0" zoomScale="110" zoomScaleNormal="110" workbookViewId="0"/>
  </sheetViews>
  <sheetFormatPr defaultRowHeight="15"/>
  <cols>
    <col min="1" max="1" width="50.5703125" customWidth="1"/>
    <col min="2" max="2" width="33.7109375" customWidth="1"/>
    <col min="3" max="3" width="5.42578125" customWidth="1"/>
    <col min="4" max="4" width="4.85546875" customWidth="1"/>
    <col min="5" max="5" width="75" customWidth="1"/>
    <col min="6" max="6" width="13.5703125" customWidth="1"/>
    <col min="7" max="7" width="14" customWidth="1"/>
    <col min="8" max="8" width="12.28515625" customWidth="1"/>
    <col min="9" max="9" width="18.140625" bestFit="1" customWidth="1"/>
  </cols>
  <sheetData>
    <row r="1" spans="1:9" ht="31.5">
      <c r="A1" s="197" t="s">
        <v>61</v>
      </c>
      <c r="B1" s="9"/>
      <c r="D1" s="207"/>
      <c r="E1" s="205" t="s">
        <v>62</v>
      </c>
      <c r="F1" s="206" t="s">
        <v>63</v>
      </c>
      <c r="G1" s="205" t="s">
        <v>64</v>
      </c>
      <c r="H1" s="206" t="s">
        <v>65</v>
      </c>
      <c r="I1" s="205" t="s">
        <v>66</v>
      </c>
    </row>
    <row r="2" spans="1:9" ht="27.75" customHeight="1">
      <c r="A2" s="7"/>
      <c r="B2" s="30"/>
      <c r="D2" s="161">
        <v>1</v>
      </c>
      <c r="E2" s="162" t="s">
        <v>67</v>
      </c>
      <c r="F2" s="163" t="s">
        <v>68</v>
      </c>
      <c r="G2" s="164">
        <v>0.65</v>
      </c>
      <c r="H2" s="269" t="s">
        <v>69</v>
      </c>
      <c r="I2" s="160">
        <f>B$12*G2</f>
        <v>2655.2918098745995</v>
      </c>
    </row>
    <row r="3" spans="1:9" ht="31.5">
      <c r="A3" s="2"/>
      <c r="B3" s="2"/>
      <c r="D3" s="161">
        <v>2</v>
      </c>
      <c r="E3" s="162" t="s">
        <v>70</v>
      </c>
      <c r="F3" s="163" t="s">
        <v>68</v>
      </c>
      <c r="G3" s="165">
        <v>1</v>
      </c>
      <c r="H3" s="269"/>
      <c r="I3" s="160">
        <f t="shared" ref="I3:I7" si="0">B$12*G3</f>
        <v>4085.064322883999</v>
      </c>
    </row>
    <row r="4" spans="1:9" ht="31.5">
      <c r="A4" s="268" t="s">
        <v>71</v>
      </c>
      <c r="B4" s="268"/>
      <c r="D4" s="161">
        <v>3</v>
      </c>
      <c r="E4" s="162" t="s">
        <v>72</v>
      </c>
      <c r="F4" s="163" t="s">
        <v>68</v>
      </c>
      <c r="G4" s="166">
        <f>G2*1.3333</f>
        <v>0.866645</v>
      </c>
      <c r="H4" s="269" t="s">
        <v>73</v>
      </c>
      <c r="I4" s="160">
        <f t="shared" si="0"/>
        <v>3540.3005701058032</v>
      </c>
    </row>
    <row r="5" spans="1:9" ht="31.5">
      <c r="A5" s="3"/>
      <c r="B5" s="40"/>
      <c r="D5" s="161">
        <v>4</v>
      </c>
      <c r="E5" s="162" t="s">
        <v>74</v>
      </c>
      <c r="F5" s="163" t="s">
        <v>68</v>
      </c>
      <c r="G5" s="166">
        <f>G3*1.3333</f>
        <v>1.3332999999999999</v>
      </c>
      <c r="H5" s="269"/>
      <c r="I5" s="160">
        <f t="shared" si="0"/>
        <v>5446.616261701236</v>
      </c>
    </row>
    <row r="6" spans="1:9" ht="31.5">
      <c r="A6" s="246" t="s">
        <v>75</v>
      </c>
      <c r="B6" s="245"/>
      <c r="D6" s="161">
        <v>5</v>
      </c>
      <c r="E6" s="162" t="s">
        <v>76</v>
      </c>
      <c r="F6" s="163" t="s">
        <v>68</v>
      </c>
      <c r="G6" s="166">
        <f>G2*1.1</f>
        <v>0.71500000000000008</v>
      </c>
      <c r="H6" s="270" t="s">
        <v>77</v>
      </c>
      <c r="I6" s="160">
        <f t="shared" si="0"/>
        <v>2920.8209908620597</v>
      </c>
    </row>
    <row r="7" spans="1:9" ht="32.25" thickBot="1">
      <c r="A7" s="46" t="s">
        <v>24</v>
      </c>
      <c r="B7" s="115">
        <f>B8</f>
        <v>3454.7</v>
      </c>
      <c r="D7" s="161">
        <v>6</v>
      </c>
      <c r="E7" s="174" t="s">
        <v>78</v>
      </c>
      <c r="F7" s="163" t="s">
        <v>68</v>
      </c>
      <c r="G7" s="166">
        <f>G3*1.1</f>
        <v>1.1000000000000001</v>
      </c>
      <c r="H7" s="270"/>
      <c r="I7" s="160">
        <f t="shared" si="0"/>
        <v>4493.570755172399</v>
      </c>
    </row>
    <row r="8" spans="1:9" ht="15.75" thickTop="1">
      <c r="A8" s="46" t="s">
        <v>79</v>
      </c>
      <c r="B8" s="115">
        <v>3454.7</v>
      </c>
    </row>
    <row r="9" spans="1:9" ht="15.75">
      <c r="A9" s="46" t="s">
        <v>80</v>
      </c>
      <c r="B9" s="51"/>
      <c r="D9" s="271" t="s">
        <v>81</v>
      </c>
      <c r="E9" s="271"/>
      <c r="F9" s="271"/>
      <c r="G9" s="271"/>
      <c r="H9" s="177"/>
    </row>
    <row r="10" spans="1:9" ht="15.75" thickBot="1">
      <c r="A10" s="48" t="s">
        <v>82</v>
      </c>
      <c r="B10" s="96">
        <f>BDI_Geral!E18</f>
        <v>0.18246571999999972</v>
      </c>
      <c r="D10" s="167" t="s">
        <v>83</v>
      </c>
    </row>
    <row r="11" spans="1:9" ht="32.25" thickBot="1">
      <c r="A11" s="3"/>
      <c r="B11" s="40"/>
      <c r="D11" s="169"/>
      <c r="E11" s="170" t="s">
        <v>62</v>
      </c>
      <c r="F11" s="171" t="s">
        <v>63</v>
      </c>
      <c r="G11" s="172" t="s">
        <v>66</v>
      </c>
    </row>
    <row r="12" spans="1:9" ht="33" thickTop="1" thickBot="1">
      <c r="A12" s="247" t="s">
        <v>84</v>
      </c>
      <c r="B12" s="253">
        <f>B8*(1+B10)</f>
        <v>4085.064322883999</v>
      </c>
      <c r="D12" s="168">
        <v>1</v>
      </c>
      <c r="E12" s="162" t="s">
        <v>67</v>
      </c>
      <c r="F12" s="163" t="s">
        <v>68</v>
      </c>
      <c r="G12" s="160">
        <f>I2</f>
        <v>2655.2918098745995</v>
      </c>
    </row>
    <row r="13" spans="1:9" ht="31.5">
      <c r="D13" s="168">
        <v>2</v>
      </c>
      <c r="E13" s="162" t="s">
        <v>70</v>
      </c>
      <c r="F13" s="163" t="s">
        <v>68</v>
      </c>
      <c r="G13" s="160">
        <f t="shared" ref="G13:G17" si="1">I3</f>
        <v>4085.064322883999</v>
      </c>
    </row>
    <row r="14" spans="1:9" ht="31.5">
      <c r="D14" s="168">
        <v>3</v>
      </c>
      <c r="E14" s="162" t="s">
        <v>72</v>
      </c>
      <c r="F14" s="163" t="s">
        <v>68</v>
      </c>
      <c r="G14" s="160">
        <f t="shared" si="1"/>
        <v>3540.3005701058032</v>
      </c>
    </row>
    <row r="15" spans="1:9" ht="31.5">
      <c r="D15" s="168">
        <v>4</v>
      </c>
      <c r="E15" s="162" t="s">
        <v>74</v>
      </c>
      <c r="F15" s="163" t="s">
        <v>68</v>
      </c>
      <c r="G15" s="160">
        <f t="shared" si="1"/>
        <v>5446.616261701236</v>
      </c>
    </row>
    <row r="16" spans="1:9" ht="31.5">
      <c r="B16" s="123"/>
      <c r="D16" s="168">
        <v>5</v>
      </c>
      <c r="E16" s="162" t="s">
        <v>76</v>
      </c>
      <c r="F16" s="163" t="s">
        <v>68</v>
      </c>
      <c r="G16" s="160">
        <f t="shared" si="1"/>
        <v>2920.8209908620597</v>
      </c>
    </row>
    <row r="17" spans="4:7" ht="32.25" thickBot="1">
      <c r="D17" s="173">
        <v>6</v>
      </c>
      <c r="E17" s="174" t="s">
        <v>78</v>
      </c>
      <c r="F17" s="175" t="s">
        <v>68</v>
      </c>
      <c r="G17" s="176">
        <f t="shared" si="1"/>
        <v>4493.570755172399</v>
      </c>
    </row>
    <row r="18" spans="4:7" ht="15.75" thickTop="1"/>
  </sheetData>
  <mergeCells count="5">
    <mergeCell ref="H2:H3"/>
    <mergeCell ref="H4:H5"/>
    <mergeCell ref="H6:H7"/>
    <mergeCell ref="D9:G9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B2:I112"/>
  <sheetViews>
    <sheetView showGridLines="0" workbookViewId="0">
      <selection activeCell="L12" sqref="L12"/>
    </sheetView>
  </sheetViews>
  <sheetFormatPr defaultRowHeight="15"/>
  <cols>
    <col min="2" max="2" width="14.28515625" customWidth="1"/>
  </cols>
  <sheetData>
    <row r="2" spans="2:9" ht="29.25" customHeight="1">
      <c r="B2" s="267"/>
      <c r="C2" s="267"/>
      <c r="D2" s="267"/>
      <c r="E2" s="267"/>
      <c r="F2" s="267"/>
      <c r="G2" s="267"/>
      <c r="H2" s="267"/>
      <c r="I2" s="267"/>
    </row>
    <row r="3" spans="2:9" ht="15.75" thickBot="1">
      <c r="B3" s="287" t="s">
        <v>85</v>
      </c>
      <c r="C3" s="288"/>
      <c r="D3" s="288"/>
      <c r="E3" s="288"/>
      <c r="F3" s="288"/>
      <c r="G3" s="288"/>
      <c r="H3" s="288"/>
      <c r="I3" s="288"/>
    </row>
    <row r="4" spans="2:9" ht="15.75" thickBot="1">
      <c r="B4" s="272" t="s">
        <v>86</v>
      </c>
      <c r="C4" s="272"/>
      <c r="D4" s="272"/>
      <c r="E4" s="272"/>
      <c r="F4" s="272"/>
      <c r="G4" s="272"/>
      <c r="H4" s="272"/>
      <c r="I4" s="272"/>
    </row>
    <row r="5" spans="2:9">
      <c r="B5" s="273" t="s">
        <v>87</v>
      </c>
      <c r="C5" s="274"/>
      <c r="D5" s="277" t="s">
        <v>88</v>
      </c>
      <c r="E5" s="278"/>
      <c r="F5" s="278"/>
      <c r="G5" s="278"/>
      <c r="H5" s="278"/>
      <c r="I5" s="279"/>
    </row>
    <row r="6" spans="2:9" ht="15.75" thickBot="1">
      <c r="B6" s="275"/>
      <c r="C6" s="276"/>
      <c r="D6" s="280"/>
      <c r="E6" s="281"/>
      <c r="F6" s="281"/>
      <c r="G6" s="281"/>
      <c r="H6" s="281"/>
      <c r="I6" s="282"/>
    </row>
    <row r="7" spans="2:9" ht="15.75" thickBot="1">
      <c r="B7" s="62"/>
      <c r="C7" s="62"/>
      <c r="D7" s="62"/>
      <c r="E7" s="62"/>
      <c r="F7" s="283"/>
      <c r="G7" s="284"/>
      <c r="H7" s="285" t="s">
        <v>89</v>
      </c>
      <c r="I7" s="286"/>
    </row>
    <row r="8" spans="2:9" ht="15.75" thickTop="1">
      <c r="B8" s="301" t="s">
        <v>90</v>
      </c>
      <c r="C8" s="301"/>
      <c r="D8" s="301"/>
      <c r="E8" s="301"/>
      <c r="F8" s="301"/>
      <c r="G8" s="301"/>
      <c r="H8" s="301"/>
      <c r="I8" s="301"/>
    </row>
    <row r="9" spans="2:9">
      <c r="B9" s="302"/>
      <c r="C9" s="302"/>
      <c r="D9" s="302"/>
      <c r="E9" s="302"/>
      <c r="F9" s="302"/>
      <c r="G9" s="302"/>
      <c r="H9" s="302"/>
      <c r="I9" s="302"/>
    </row>
    <row r="10" spans="2:9" ht="15.75" thickBot="1">
      <c r="B10" s="303" t="s">
        <v>91</v>
      </c>
      <c r="C10" s="304"/>
      <c r="D10" s="304"/>
      <c r="E10" s="304"/>
      <c r="F10" s="304"/>
      <c r="G10" s="304"/>
      <c r="H10" s="305" t="s">
        <v>92</v>
      </c>
      <c r="I10" s="306"/>
    </row>
    <row r="11" spans="2:9">
      <c r="B11" s="307" t="s">
        <v>93</v>
      </c>
      <c r="C11" s="308"/>
      <c r="D11" s="308"/>
      <c r="E11" s="308"/>
      <c r="F11" s="308"/>
      <c r="G11" s="308"/>
      <c r="H11" s="309">
        <v>3231.67</v>
      </c>
      <c r="I11" s="310"/>
    </row>
    <row r="12" spans="2:9">
      <c r="B12" s="289" t="s">
        <v>94</v>
      </c>
      <c r="C12" s="290"/>
      <c r="D12" s="290"/>
      <c r="E12" s="290"/>
      <c r="F12" s="290"/>
      <c r="G12" s="290"/>
      <c r="H12" s="291">
        <v>591.76</v>
      </c>
      <c r="I12" s="292"/>
    </row>
    <row r="13" spans="2:9">
      <c r="B13" s="293" t="s">
        <v>95</v>
      </c>
      <c r="C13" s="294"/>
      <c r="D13" s="294"/>
      <c r="E13" s="294"/>
      <c r="F13" s="294"/>
      <c r="G13" s="295"/>
      <c r="H13" s="296">
        <v>1195.71</v>
      </c>
      <c r="I13" s="297"/>
    </row>
    <row r="14" spans="2:9">
      <c r="B14" s="298" t="s">
        <v>96</v>
      </c>
      <c r="C14" s="299"/>
      <c r="D14" s="299"/>
      <c r="E14" s="299"/>
      <c r="F14" s="299"/>
      <c r="G14" s="300"/>
      <c r="H14" s="296">
        <v>394.5</v>
      </c>
      <c r="I14" s="297"/>
    </row>
    <row r="15" spans="2:9">
      <c r="B15" s="293" t="s">
        <v>97</v>
      </c>
      <c r="C15" s="294"/>
      <c r="D15" s="294"/>
      <c r="E15" s="294"/>
      <c r="F15" s="294"/>
      <c r="G15" s="295"/>
      <c r="H15" s="311">
        <v>262.13</v>
      </c>
      <c r="I15" s="312"/>
    </row>
    <row r="16" spans="2:9">
      <c r="B16" s="318" t="s">
        <v>98</v>
      </c>
      <c r="C16" s="319"/>
      <c r="D16" s="319"/>
      <c r="E16" s="319"/>
      <c r="F16" s="319"/>
      <c r="G16" s="320"/>
      <c r="H16" s="311">
        <v>420</v>
      </c>
      <c r="I16" s="312"/>
    </row>
    <row r="17" spans="2:9">
      <c r="B17" s="318" t="s">
        <v>99</v>
      </c>
      <c r="C17" s="319"/>
      <c r="D17" s="319"/>
      <c r="E17" s="319"/>
      <c r="F17" s="319"/>
      <c r="G17" s="320"/>
      <c r="H17" s="311">
        <v>706.67</v>
      </c>
      <c r="I17" s="312"/>
    </row>
    <row r="18" spans="2:9">
      <c r="B18" s="293" t="s">
        <v>100</v>
      </c>
      <c r="C18" s="294"/>
      <c r="D18" s="294"/>
      <c r="E18" s="294"/>
      <c r="F18" s="294"/>
      <c r="G18" s="295"/>
      <c r="H18" s="311">
        <v>864.91</v>
      </c>
      <c r="I18" s="312"/>
    </row>
    <row r="19" spans="2:9">
      <c r="B19" s="293" t="s">
        <v>101</v>
      </c>
      <c r="C19" s="294"/>
      <c r="D19" s="294"/>
      <c r="E19" s="294"/>
      <c r="F19" s="294"/>
      <c r="G19" s="295"/>
      <c r="H19" s="311">
        <v>2423.75</v>
      </c>
      <c r="I19" s="312"/>
    </row>
    <row r="20" spans="2:9" ht="15.75" thickBot="1">
      <c r="B20" s="313" t="s">
        <v>102</v>
      </c>
      <c r="C20" s="314"/>
      <c r="D20" s="314"/>
      <c r="E20" s="314"/>
      <c r="F20" s="314"/>
      <c r="G20" s="315"/>
      <c r="H20" s="316">
        <f>SUM(H11:I19)</f>
        <v>10091.1</v>
      </c>
      <c r="I20" s="317"/>
    </row>
    <row r="21" spans="2:9" ht="15.75" thickBot="1">
      <c r="B21" s="321" t="s">
        <v>103</v>
      </c>
      <c r="C21" s="322"/>
      <c r="D21" s="322"/>
      <c r="E21" s="322"/>
      <c r="F21" s="323"/>
      <c r="G21" s="209">
        <v>12</v>
      </c>
      <c r="H21" s="324">
        <f>H20*G21</f>
        <v>121093.20000000001</v>
      </c>
      <c r="I21" s="325"/>
    </row>
    <row r="22" spans="2:9">
      <c r="B22" s="326"/>
      <c r="C22" s="327"/>
      <c r="D22" s="327"/>
      <c r="E22" s="327"/>
      <c r="F22" s="327"/>
      <c r="G22" s="327"/>
      <c r="H22" s="327"/>
      <c r="I22" s="328"/>
    </row>
    <row r="23" spans="2:9" ht="15.75" thickBot="1">
      <c r="B23" s="329"/>
      <c r="C23" s="330"/>
      <c r="D23" s="330"/>
      <c r="E23" s="330"/>
      <c r="F23" s="330"/>
      <c r="G23" s="330"/>
      <c r="H23" s="330"/>
      <c r="I23" s="331"/>
    </row>
    <row r="24" spans="2:9" ht="15.75" thickBot="1">
      <c r="B24" s="303" t="s">
        <v>104</v>
      </c>
      <c r="C24" s="304"/>
      <c r="D24" s="304"/>
      <c r="E24" s="304"/>
      <c r="F24" s="304"/>
      <c r="G24" s="304"/>
      <c r="H24" s="305" t="s">
        <v>92</v>
      </c>
      <c r="I24" s="306"/>
    </row>
    <row r="25" spans="2:9">
      <c r="B25" s="307" t="s">
        <v>93</v>
      </c>
      <c r="C25" s="308"/>
      <c r="D25" s="308"/>
      <c r="E25" s="308"/>
      <c r="F25" s="308"/>
      <c r="G25" s="308"/>
      <c r="H25" s="309">
        <v>3231.67</v>
      </c>
      <c r="I25" s="310"/>
    </row>
    <row r="26" spans="2:9">
      <c r="B26" s="289" t="s">
        <v>94</v>
      </c>
      <c r="C26" s="290"/>
      <c r="D26" s="290"/>
      <c r="E26" s="290"/>
      <c r="F26" s="290"/>
      <c r="G26" s="290"/>
      <c r="H26" s="291">
        <v>591.76</v>
      </c>
      <c r="I26" s="292"/>
    </row>
    <row r="27" spans="2:9">
      <c r="B27" s="293" t="s">
        <v>95</v>
      </c>
      <c r="C27" s="294"/>
      <c r="D27" s="294"/>
      <c r="E27" s="294"/>
      <c r="F27" s="294"/>
      <c r="G27" s="295"/>
      <c r="H27" s="296">
        <v>1195.71</v>
      </c>
      <c r="I27" s="297"/>
    </row>
    <row r="28" spans="2:9">
      <c r="B28" s="298" t="s">
        <v>96</v>
      </c>
      <c r="C28" s="299"/>
      <c r="D28" s="299"/>
      <c r="E28" s="299"/>
      <c r="F28" s="299"/>
      <c r="G28" s="300"/>
      <c r="H28" s="296">
        <v>394.5</v>
      </c>
      <c r="I28" s="297"/>
    </row>
    <row r="29" spans="2:9">
      <c r="B29" s="293" t="s">
        <v>97</v>
      </c>
      <c r="C29" s="294"/>
      <c r="D29" s="294"/>
      <c r="E29" s="294"/>
      <c r="F29" s="294"/>
      <c r="G29" s="295"/>
      <c r="H29" s="311">
        <v>262.13</v>
      </c>
      <c r="I29" s="312"/>
    </row>
    <row r="30" spans="2:9">
      <c r="B30" s="318" t="s">
        <v>98</v>
      </c>
      <c r="C30" s="319"/>
      <c r="D30" s="319"/>
      <c r="E30" s="319"/>
      <c r="F30" s="319"/>
      <c r="G30" s="320"/>
      <c r="H30" s="311">
        <v>420</v>
      </c>
      <c r="I30" s="312"/>
    </row>
    <row r="31" spans="2:9">
      <c r="B31" s="293" t="s">
        <v>100</v>
      </c>
      <c r="C31" s="294"/>
      <c r="D31" s="294"/>
      <c r="E31" s="294"/>
      <c r="F31" s="294"/>
      <c r="G31" s="295"/>
      <c r="H31" s="311">
        <v>864.91</v>
      </c>
      <c r="I31" s="312"/>
    </row>
    <row r="32" spans="2:9">
      <c r="B32" s="293" t="s">
        <v>101</v>
      </c>
      <c r="C32" s="294"/>
      <c r="D32" s="294"/>
      <c r="E32" s="294"/>
      <c r="F32" s="294"/>
      <c r="G32" s="295"/>
      <c r="H32" s="311">
        <v>2423.75</v>
      </c>
      <c r="I32" s="312"/>
    </row>
    <row r="33" spans="2:9" ht="15.75" thickBot="1">
      <c r="B33" s="313" t="s">
        <v>102</v>
      </c>
      <c r="C33" s="314"/>
      <c r="D33" s="314"/>
      <c r="E33" s="314"/>
      <c r="F33" s="314"/>
      <c r="G33" s="315"/>
      <c r="H33" s="316">
        <f>SUM(H25:I32)</f>
        <v>9384.43</v>
      </c>
      <c r="I33" s="317"/>
    </row>
    <row r="34" spans="2:9" ht="15.75" thickBot="1">
      <c r="B34" s="321" t="s">
        <v>103</v>
      </c>
      <c r="C34" s="322"/>
      <c r="D34" s="322"/>
      <c r="E34" s="322"/>
      <c r="F34" s="323"/>
      <c r="G34" s="209">
        <v>12</v>
      </c>
      <c r="H34" s="324">
        <f>H33*G34</f>
        <v>112613.16</v>
      </c>
      <c r="I34" s="325"/>
    </row>
    <row r="35" spans="2:9">
      <c r="B35" s="332"/>
      <c r="C35" s="333"/>
      <c r="D35" s="333"/>
      <c r="E35" s="333"/>
      <c r="F35" s="333"/>
      <c r="G35" s="333"/>
      <c r="H35" s="333"/>
      <c r="I35" s="334"/>
    </row>
    <row r="36" spans="2:9">
      <c r="B36" s="335"/>
      <c r="C36" s="336"/>
      <c r="D36" s="336"/>
      <c r="E36" s="336"/>
      <c r="F36" s="336"/>
      <c r="G36" s="336"/>
      <c r="H36" s="336"/>
      <c r="I36" s="337"/>
    </row>
    <row r="37" spans="2:9" ht="15.75" thickBot="1">
      <c r="B37" s="303" t="s">
        <v>105</v>
      </c>
      <c r="C37" s="304"/>
      <c r="D37" s="304"/>
      <c r="E37" s="304"/>
      <c r="F37" s="304"/>
      <c r="G37" s="304"/>
      <c r="H37" s="305" t="s">
        <v>92</v>
      </c>
      <c r="I37" s="306"/>
    </row>
    <row r="38" spans="2:9">
      <c r="B38" s="307" t="s">
        <v>93</v>
      </c>
      <c r="C38" s="308"/>
      <c r="D38" s="308"/>
      <c r="E38" s="308"/>
      <c r="F38" s="308"/>
      <c r="G38" s="308"/>
      <c r="H38" s="338">
        <v>2423.75</v>
      </c>
      <c r="I38" s="339"/>
    </row>
    <row r="39" spans="2:9">
      <c r="B39" s="293" t="s">
        <v>95</v>
      </c>
      <c r="C39" s="294"/>
      <c r="D39" s="294"/>
      <c r="E39" s="294"/>
      <c r="F39" s="294"/>
      <c r="G39" s="295"/>
      <c r="H39" s="291">
        <v>702.88</v>
      </c>
      <c r="I39" s="292"/>
    </row>
    <row r="40" spans="2:9">
      <c r="B40" s="298" t="s">
        <v>96</v>
      </c>
      <c r="C40" s="299"/>
      <c r="D40" s="299"/>
      <c r="E40" s="299"/>
      <c r="F40" s="299"/>
      <c r="G40" s="300"/>
      <c r="H40" s="291">
        <v>394.5</v>
      </c>
      <c r="I40" s="292"/>
    </row>
    <row r="41" spans="2:9">
      <c r="B41" s="293" t="s">
        <v>97</v>
      </c>
      <c r="C41" s="294"/>
      <c r="D41" s="294"/>
      <c r="E41" s="294"/>
      <c r="F41" s="294"/>
      <c r="G41" s="295"/>
      <c r="H41" s="311">
        <v>262.13</v>
      </c>
      <c r="I41" s="312"/>
    </row>
    <row r="42" spans="2:9">
      <c r="B42" s="293" t="s">
        <v>101</v>
      </c>
      <c r="C42" s="294"/>
      <c r="D42" s="294"/>
      <c r="E42" s="294"/>
      <c r="F42" s="294"/>
      <c r="G42" s="295"/>
      <c r="H42" s="311">
        <v>1817.81</v>
      </c>
      <c r="I42" s="312"/>
    </row>
    <row r="43" spans="2:9">
      <c r="B43" s="318" t="s">
        <v>99</v>
      </c>
      <c r="C43" s="319"/>
      <c r="D43" s="319"/>
      <c r="E43" s="319"/>
      <c r="F43" s="319"/>
      <c r="G43" s="320"/>
      <c r="H43" s="311">
        <v>659.25</v>
      </c>
      <c r="I43" s="312"/>
    </row>
    <row r="44" spans="2:9" ht="15.75" thickBot="1">
      <c r="B44" s="289" t="s">
        <v>102</v>
      </c>
      <c r="C44" s="290"/>
      <c r="D44" s="290"/>
      <c r="E44" s="290"/>
      <c r="F44" s="290"/>
      <c r="G44" s="290"/>
      <c r="H44" s="291">
        <f>SUM(H38:I43)</f>
        <v>6260.32</v>
      </c>
      <c r="I44" s="292"/>
    </row>
    <row r="45" spans="2:9" ht="15.75" thickBot="1">
      <c r="B45" s="321" t="s">
        <v>106</v>
      </c>
      <c r="C45" s="322"/>
      <c r="D45" s="322"/>
      <c r="E45" s="322"/>
      <c r="F45" s="323"/>
      <c r="G45" s="209">
        <v>5</v>
      </c>
      <c r="H45" s="324">
        <f>H44*G45</f>
        <v>31301.599999999999</v>
      </c>
      <c r="I45" s="325"/>
    </row>
    <row r="46" spans="2:9">
      <c r="B46" s="332"/>
      <c r="C46" s="333"/>
      <c r="D46" s="333"/>
      <c r="E46" s="333"/>
      <c r="F46" s="333"/>
      <c r="G46" s="333"/>
      <c r="H46" s="333"/>
      <c r="I46" s="334"/>
    </row>
    <row r="47" spans="2:9">
      <c r="B47" s="335"/>
      <c r="C47" s="336"/>
      <c r="D47" s="336"/>
      <c r="E47" s="336"/>
      <c r="F47" s="336"/>
      <c r="G47" s="336"/>
      <c r="H47" s="336"/>
      <c r="I47" s="337"/>
    </row>
    <row r="48" spans="2:9" ht="15.75" thickBot="1">
      <c r="B48" s="303" t="s">
        <v>107</v>
      </c>
      <c r="C48" s="304"/>
      <c r="D48" s="304"/>
      <c r="E48" s="304"/>
      <c r="F48" s="304"/>
      <c r="G48" s="304"/>
      <c r="H48" s="305" t="s">
        <v>92</v>
      </c>
      <c r="I48" s="306"/>
    </row>
    <row r="49" spans="2:9">
      <c r="B49" s="307" t="s">
        <v>93</v>
      </c>
      <c r="C49" s="308"/>
      <c r="D49" s="308"/>
      <c r="E49" s="308"/>
      <c r="F49" s="308"/>
      <c r="G49" s="308"/>
      <c r="H49" s="338">
        <v>2423.75</v>
      </c>
      <c r="I49" s="339"/>
    </row>
    <row r="50" spans="2:9">
      <c r="B50" s="293" t="s">
        <v>95</v>
      </c>
      <c r="C50" s="294"/>
      <c r="D50" s="294"/>
      <c r="E50" s="294"/>
      <c r="F50" s="294"/>
      <c r="G50" s="295"/>
      <c r="H50" s="291">
        <v>702.88</v>
      </c>
      <c r="I50" s="292"/>
    </row>
    <row r="51" spans="2:9">
      <c r="B51" s="298" t="s">
        <v>96</v>
      </c>
      <c r="C51" s="299"/>
      <c r="D51" s="299"/>
      <c r="E51" s="299"/>
      <c r="F51" s="299"/>
      <c r="G51" s="300"/>
      <c r="H51" s="291">
        <v>394.5</v>
      </c>
      <c r="I51" s="292"/>
    </row>
    <row r="52" spans="2:9">
      <c r="B52" s="293" t="s">
        <v>97</v>
      </c>
      <c r="C52" s="294"/>
      <c r="D52" s="294"/>
      <c r="E52" s="294"/>
      <c r="F52" s="294"/>
      <c r="G52" s="295"/>
      <c r="H52" s="311">
        <v>262.13</v>
      </c>
      <c r="I52" s="312"/>
    </row>
    <row r="53" spans="2:9">
      <c r="B53" s="293" t="s">
        <v>101</v>
      </c>
      <c r="C53" s="294"/>
      <c r="D53" s="294"/>
      <c r="E53" s="294"/>
      <c r="F53" s="294"/>
      <c r="G53" s="295"/>
      <c r="H53" s="311">
        <v>1817.81</v>
      </c>
      <c r="I53" s="312"/>
    </row>
    <row r="54" spans="2:9" ht="15.75" thickBot="1">
      <c r="B54" s="289" t="s">
        <v>102</v>
      </c>
      <c r="C54" s="290"/>
      <c r="D54" s="290"/>
      <c r="E54" s="290"/>
      <c r="F54" s="290"/>
      <c r="G54" s="290"/>
      <c r="H54" s="291">
        <f>SUM(H49:I53)</f>
        <v>5601.07</v>
      </c>
      <c r="I54" s="292"/>
    </row>
    <row r="55" spans="2:9" ht="15.75" thickBot="1">
      <c r="B55" s="321" t="s">
        <v>106</v>
      </c>
      <c r="C55" s="322"/>
      <c r="D55" s="322"/>
      <c r="E55" s="322"/>
      <c r="F55" s="323"/>
      <c r="G55" s="209">
        <v>5</v>
      </c>
      <c r="H55" s="324">
        <f>H54*G55</f>
        <v>28005.35</v>
      </c>
      <c r="I55" s="325"/>
    </row>
    <row r="56" spans="2:9">
      <c r="B56" s="326"/>
      <c r="C56" s="327"/>
      <c r="D56" s="327"/>
      <c r="E56" s="327"/>
      <c r="F56" s="327"/>
      <c r="G56" s="327"/>
      <c r="H56" s="327"/>
      <c r="I56" s="328"/>
    </row>
    <row r="57" spans="2:9" ht="15.75" thickBot="1">
      <c r="B57" s="329"/>
      <c r="C57" s="330"/>
      <c r="D57" s="330"/>
      <c r="E57" s="330"/>
      <c r="F57" s="330"/>
      <c r="G57" s="330"/>
      <c r="H57" s="330"/>
      <c r="I57" s="331"/>
    </row>
    <row r="58" spans="2:9" ht="15.75" thickBot="1">
      <c r="B58" s="303" t="s">
        <v>108</v>
      </c>
      <c r="C58" s="304"/>
      <c r="D58" s="304"/>
      <c r="E58" s="304"/>
      <c r="F58" s="304"/>
      <c r="G58" s="304"/>
      <c r="H58" s="305" t="s">
        <v>92</v>
      </c>
      <c r="I58" s="306"/>
    </row>
    <row r="59" spans="2:9">
      <c r="B59" s="307" t="s">
        <v>93</v>
      </c>
      <c r="C59" s="308"/>
      <c r="D59" s="308"/>
      <c r="E59" s="308"/>
      <c r="F59" s="308"/>
      <c r="G59" s="308"/>
      <c r="H59" s="309">
        <v>3231.67</v>
      </c>
      <c r="I59" s="310"/>
    </row>
    <row r="60" spans="2:9">
      <c r="B60" s="289" t="s">
        <v>94</v>
      </c>
      <c r="C60" s="290"/>
      <c r="D60" s="290"/>
      <c r="E60" s="290"/>
      <c r="F60" s="290"/>
      <c r="G60" s="290"/>
      <c r="H60" s="291">
        <v>591.76</v>
      </c>
      <c r="I60" s="292"/>
    </row>
    <row r="61" spans="2:9">
      <c r="B61" s="293" t="s">
        <v>95</v>
      </c>
      <c r="C61" s="294"/>
      <c r="D61" s="294"/>
      <c r="E61" s="294"/>
      <c r="F61" s="294"/>
      <c r="G61" s="295"/>
      <c r="H61" s="296">
        <v>1195.71</v>
      </c>
      <c r="I61" s="297"/>
    </row>
    <row r="62" spans="2:9">
      <c r="B62" s="298" t="s">
        <v>96</v>
      </c>
      <c r="C62" s="299"/>
      <c r="D62" s="299"/>
      <c r="E62" s="299"/>
      <c r="F62" s="299"/>
      <c r="G62" s="300"/>
      <c r="H62" s="296">
        <v>394.5</v>
      </c>
      <c r="I62" s="297"/>
    </row>
    <row r="63" spans="2:9">
      <c r="B63" s="293" t="s">
        <v>97</v>
      </c>
      <c r="C63" s="294"/>
      <c r="D63" s="294"/>
      <c r="E63" s="294"/>
      <c r="F63" s="294"/>
      <c r="G63" s="295"/>
      <c r="H63" s="311">
        <v>262.13</v>
      </c>
      <c r="I63" s="312"/>
    </row>
    <row r="64" spans="2:9">
      <c r="B64" s="318" t="s">
        <v>98</v>
      </c>
      <c r="C64" s="319"/>
      <c r="D64" s="319"/>
      <c r="E64" s="319"/>
      <c r="F64" s="319"/>
      <c r="G64" s="320"/>
      <c r="H64" s="311">
        <v>420</v>
      </c>
      <c r="I64" s="312"/>
    </row>
    <row r="65" spans="2:9">
      <c r="B65" s="293" t="s">
        <v>100</v>
      </c>
      <c r="C65" s="294"/>
      <c r="D65" s="294"/>
      <c r="E65" s="294"/>
      <c r="F65" s="294"/>
      <c r="G65" s="295"/>
      <c r="H65" s="311">
        <v>864.91</v>
      </c>
      <c r="I65" s="312"/>
    </row>
    <row r="66" spans="2:9">
      <c r="B66" s="293" t="s">
        <v>109</v>
      </c>
      <c r="C66" s="294"/>
      <c r="D66" s="294"/>
      <c r="E66" s="294"/>
      <c r="F66" s="294"/>
      <c r="G66" s="295"/>
      <c r="H66" s="311">
        <v>2350.17</v>
      </c>
      <c r="I66" s="312"/>
    </row>
    <row r="67" spans="2:9">
      <c r="B67" s="293" t="s">
        <v>101</v>
      </c>
      <c r="C67" s="294"/>
      <c r="D67" s="294"/>
      <c r="E67" s="294"/>
      <c r="F67" s="294"/>
      <c r="G67" s="295"/>
      <c r="H67" s="311">
        <v>2423.75</v>
      </c>
      <c r="I67" s="312"/>
    </row>
    <row r="68" spans="2:9" ht="15.75" thickBot="1">
      <c r="B68" s="313" t="s">
        <v>102</v>
      </c>
      <c r="C68" s="314"/>
      <c r="D68" s="314"/>
      <c r="E68" s="314"/>
      <c r="F68" s="314"/>
      <c r="G68" s="315"/>
      <c r="H68" s="316">
        <f>SUM(H59:I67)</f>
        <v>11734.6</v>
      </c>
      <c r="I68" s="317"/>
    </row>
    <row r="69" spans="2:9" ht="15.75" thickBot="1">
      <c r="B69" s="321" t="s">
        <v>110</v>
      </c>
      <c r="C69" s="322"/>
      <c r="D69" s="322"/>
      <c r="E69" s="322"/>
      <c r="F69" s="323"/>
      <c r="G69" s="209">
        <v>1</v>
      </c>
      <c r="H69" s="324">
        <f>H68*G69</f>
        <v>11734.6</v>
      </c>
      <c r="I69" s="325"/>
    </row>
    <row r="70" spans="2:9">
      <c r="B70" s="332"/>
      <c r="C70" s="333"/>
      <c r="D70" s="333"/>
      <c r="E70" s="333"/>
      <c r="F70" s="333"/>
      <c r="G70" s="333"/>
      <c r="H70" s="333"/>
      <c r="I70" s="334"/>
    </row>
    <row r="71" spans="2:9">
      <c r="B71" s="335"/>
      <c r="C71" s="336"/>
      <c r="D71" s="336"/>
      <c r="E71" s="336"/>
      <c r="F71" s="336"/>
      <c r="G71" s="336"/>
      <c r="H71" s="336"/>
      <c r="I71" s="337"/>
    </row>
    <row r="72" spans="2:9" ht="15.75" thickBot="1">
      <c r="B72" s="303" t="s">
        <v>111</v>
      </c>
      <c r="C72" s="304"/>
      <c r="D72" s="304"/>
      <c r="E72" s="304"/>
      <c r="F72" s="304"/>
      <c r="G72" s="304"/>
      <c r="H72" s="305" t="s">
        <v>92</v>
      </c>
      <c r="I72" s="306"/>
    </row>
    <row r="73" spans="2:9">
      <c r="B73" s="307" t="s">
        <v>112</v>
      </c>
      <c r="C73" s="308"/>
      <c r="D73" s="308"/>
      <c r="E73" s="308"/>
      <c r="F73" s="308"/>
      <c r="G73" s="308"/>
      <c r="H73" s="340">
        <v>7862.89</v>
      </c>
      <c r="I73" s="341"/>
    </row>
    <row r="74" spans="2:9">
      <c r="B74" s="293" t="s">
        <v>113</v>
      </c>
      <c r="C74" s="294"/>
      <c r="D74" s="294"/>
      <c r="E74" s="294"/>
      <c r="F74" s="294"/>
      <c r="G74" s="295"/>
      <c r="H74" s="296">
        <v>833.43</v>
      </c>
      <c r="I74" s="297"/>
    </row>
    <row r="75" spans="2:9">
      <c r="B75" s="293" t="s">
        <v>114</v>
      </c>
      <c r="C75" s="294"/>
      <c r="D75" s="294"/>
      <c r="E75" s="294"/>
      <c r="F75" s="294"/>
      <c r="G75" s="295"/>
      <c r="H75" s="291">
        <f>H73/3</f>
        <v>2620.9633333333336</v>
      </c>
      <c r="I75" s="292"/>
    </row>
    <row r="76" spans="2:9" ht="15.75" thickBot="1">
      <c r="B76" s="289" t="s">
        <v>102</v>
      </c>
      <c r="C76" s="290"/>
      <c r="D76" s="290"/>
      <c r="E76" s="290"/>
      <c r="F76" s="290"/>
      <c r="G76" s="290"/>
      <c r="H76" s="291">
        <f>SUM(H73:I75)</f>
        <v>11317.283333333333</v>
      </c>
      <c r="I76" s="292"/>
    </row>
    <row r="77" spans="2:9" ht="15.75" thickBot="1">
      <c r="B77" s="321" t="s">
        <v>103</v>
      </c>
      <c r="C77" s="322"/>
      <c r="D77" s="322"/>
      <c r="E77" s="322"/>
      <c r="F77" s="323"/>
      <c r="G77" s="209">
        <v>1</v>
      </c>
      <c r="H77" s="324">
        <f>H76*G77</f>
        <v>11317.283333333333</v>
      </c>
      <c r="I77" s="325"/>
    </row>
    <row r="78" spans="2:9">
      <c r="B78" s="332"/>
      <c r="C78" s="333"/>
      <c r="D78" s="333"/>
      <c r="E78" s="333"/>
      <c r="F78" s="333"/>
      <c r="G78" s="333"/>
      <c r="H78" s="333"/>
      <c r="I78" s="334"/>
    </row>
    <row r="79" spans="2:9">
      <c r="B79" s="335"/>
      <c r="C79" s="336"/>
      <c r="D79" s="336"/>
      <c r="E79" s="336"/>
      <c r="F79" s="336"/>
      <c r="G79" s="336"/>
      <c r="H79" s="336"/>
      <c r="I79" s="337"/>
    </row>
    <row r="80" spans="2:9" ht="15.75" thickBot="1">
      <c r="B80" s="303" t="s">
        <v>104</v>
      </c>
      <c r="C80" s="304"/>
      <c r="D80" s="304"/>
      <c r="E80" s="304"/>
      <c r="F80" s="304"/>
      <c r="G80" s="304"/>
      <c r="H80" s="305" t="s">
        <v>92</v>
      </c>
      <c r="I80" s="306"/>
    </row>
    <row r="81" spans="2:9">
      <c r="B81" s="307" t="s">
        <v>112</v>
      </c>
      <c r="C81" s="308"/>
      <c r="D81" s="308"/>
      <c r="E81" s="308"/>
      <c r="F81" s="308"/>
      <c r="G81" s="308"/>
      <c r="H81" s="340">
        <v>7862.89</v>
      </c>
      <c r="I81" s="341"/>
    </row>
    <row r="82" spans="2:9">
      <c r="B82" s="293" t="s">
        <v>113</v>
      </c>
      <c r="C82" s="294"/>
      <c r="D82" s="294"/>
      <c r="E82" s="294"/>
      <c r="F82" s="294"/>
      <c r="G82" s="295"/>
      <c r="H82" s="296">
        <v>833.43</v>
      </c>
      <c r="I82" s="297"/>
    </row>
    <row r="83" spans="2:9">
      <c r="B83" s="293" t="s">
        <v>114</v>
      </c>
      <c r="C83" s="294"/>
      <c r="D83" s="294"/>
      <c r="E83" s="294"/>
      <c r="F83" s="294"/>
      <c r="G83" s="295"/>
      <c r="H83" s="291">
        <f>H81/3</f>
        <v>2620.9633333333336</v>
      </c>
      <c r="I83" s="292"/>
    </row>
    <row r="84" spans="2:9" ht="15.75" thickBot="1">
      <c r="B84" s="289" t="s">
        <v>102</v>
      </c>
      <c r="C84" s="290"/>
      <c r="D84" s="290"/>
      <c r="E84" s="290"/>
      <c r="F84" s="290"/>
      <c r="G84" s="290"/>
      <c r="H84" s="291">
        <f>SUM(H81:I83)</f>
        <v>11317.283333333333</v>
      </c>
      <c r="I84" s="292"/>
    </row>
    <row r="85" spans="2:9" ht="15.75" thickBot="1">
      <c r="B85" s="321" t="s">
        <v>103</v>
      </c>
      <c r="C85" s="322"/>
      <c r="D85" s="322"/>
      <c r="E85" s="322"/>
      <c r="F85" s="323"/>
      <c r="G85" s="209">
        <v>1</v>
      </c>
      <c r="H85" s="324">
        <f>H84*G85</f>
        <v>11317.283333333333</v>
      </c>
      <c r="I85" s="325"/>
    </row>
    <row r="86" spans="2:9">
      <c r="B86" s="332"/>
      <c r="C86" s="333"/>
      <c r="D86" s="333"/>
      <c r="E86" s="333"/>
      <c r="F86" s="333"/>
      <c r="G86" s="333"/>
      <c r="H86" s="333"/>
      <c r="I86" s="334"/>
    </row>
    <row r="87" spans="2:9">
      <c r="B87" s="335"/>
      <c r="C87" s="336"/>
      <c r="D87" s="336"/>
      <c r="E87" s="336"/>
      <c r="F87" s="336"/>
      <c r="G87" s="336"/>
      <c r="H87" s="336"/>
      <c r="I87" s="337"/>
    </row>
    <row r="88" spans="2:9" ht="15.75" thickBot="1">
      <c r="B88" s="303" t="s">
        <v>115</v>
      </c>
      <c r="C88" s="304"/>
      <c r="D88" s="304"/>
      <c r="E88" s="304"/>
      <c r="F88" s="304"/>
      <c r="G88" s="304"/>
      <c r="H88" s="305" t="s">
        <v>92</v>
      </c>
      <c r="I88" s="306"/>
    </row>
    <row r="89" spans="2:9">
      <c r="B89" s="307" t="s">
        <v>112</v>
      </c>
      <c r="C89" s="308"/>
      <c r="D89" s="308"/>
      <c r="E89" s="308"/>
      <c r="F89" s="308"/>
      <c r="G89" s="308"/>
      <c r="H89" s="340">
        <v>4944.4400000000005</v>
      </c>
      <c r="I89" s="341"/>
    </row>
    <row r="90" spans="2:9">
      <c r="B90" s="293" t="s">
        <v>113</v>
      </c>
      <c r="C90" s="294"/>
      <c r="D90" s="294"/>
      <c r="E90" s="294"/>
      <c r="F90" s="294"/>
      <c r="G90" s="295"/>
      <c r="H90" s="296">
        <v>833.43</v>
      </c>
      <c r="I90" s="297"/>
    </row>
    <row r="91" spans="2:9">
      <c r="B91" s="293" t="s">
        <v>114</v>
      </c>
      <c r="C91" s="294"/>
      <c r="D91" s="294"/>
      <c r="E91" s="294"/>
      <c r="F91" s="294"/>
      <c r="G91" s="295"/>
      <c r="H91" s="291">
        <f>H89/3</f>
        <v>1648.1466666666668</v>
      </c>
      <c r="I91" s="292"/>
    </row>
    <row r="92" spans="2:9" ht="15.75" thickBot="1">
      <c r="B92" s="289" t="s">
        <v>102</v>
      </c>
      <c r="C92" s="290"/>
      <c r="D92" s="290"/>
      <c r="E92" s="290"/>
      <c r="F92" s="290"/>
      <c r="G92" s="290"/>
      <c r="H92" s="291">
        <f>SUM(H89:I91)</f>
        <v>7426.0166666666673</v>
      </c>
      <c r="I92" s="292"/>
    </row>
    <row r="93" spans="2:9" ht="15.75" thickBot="1">
      <c r="B93" s="321" t="s">
        <v>116</v>
      </c>
      <c r="C93" s="322"/>
      <c r="D93" s="322"/>
      <c r="E93" s="322"/>
      <c r="F93" s="323"/>
      <c r="G93" s="209">
        <v>5</v>
      </c>
      <c r="H93" s="324">
        <f>H92*G93</f>
        <v>37130.083333333336</v>
      </c>
      <c r="I93" s="325"/>
    </row>
    <row r="94" spans="2:9">
      <c r="B94" s="332"/>
      <c r="C94" s="333"/>
      <c r="D94" s="333"/>
      <c r="E94" s="333"/>
      <c r="F94" s="333"/>
      <c r="G94" s="333"/>
      <c r="H94" s="333"/>
      <c r="I94" s="334"/>
    </row>
    <row r="95" spans="2:9">
      <c r="B95" s="335"/>
      <c r="C95" s="336"/>
      <c r="D95" s="336"/>
      <c r="E95" s="336"/>
      <c r="F95" s="336"/>
      <c r="G95" s="336"/>
      <c r="H95" s="336"/>
      <c r="I95" s="337"/>
    </row>
    <row r="96" spans="2:9" ht="15.75" thickBot="1">
      <c r="B96" s="303" t="s">
        <v>117</v>
      </c>
      <c r="C96" s="304"/>
      <c r="D96" s="304"/>
      <c r="E96" s="304"/>
      <c r="F96" s="304"/>
      <c r="G96" s="304"/>
      <c r="H96" s="305" t="s">
        <v>92</v>
      </c>
      <c r="I96" s="306"/>
    </row>
    <row r="97" spans="2:9">
      <c r="B97" s="307" t="s">
        <v>112</v>
      </c>
      <c r="C97" s="308"/>
      <c r="D97" s="308"/>
      <c r="E97" s="308"/>
      <c r="F97" s="308"/>
      <c r="G97" s="308"/>
      <c r="H97" s="340">
        <v>4944.4400000000005</v>
      </c>
      <c r="I97" s="341"/>
    </row>
    <row r="98" spans="2:9">
      <c r="B98" s="293" t="s">
        <v>113</v>
      </c>
      <c r="C98" s="294"/>
      <c r="D98" s="294"/>
      <c r="E98" s="294"/>
      <c r="F98" s="294"/>
      <c r="G98" s="295"/>
      <c r="H98" s="296">
        <v>833.43</v>
      </c>
      <c r="I98" s="297"/>
    </row>
    <row r="99" spans="2:9">
      <c r="B99" s="293" t="s">
        <v>114</v>
      </c>
      <c r="C99" s="294"/>
      <c r="D99" s="294"/>
      <c r="E99" s="294"/>
      <c r="F99" s="294"/>
      <c r="G99" s="295"/>
      <c r="H99" s="291">
        <f>H97/3</f>
        <v>1648.1466666666668</v>
      </c>
      <c r="I99" s="292"/>
    </row>
    <row r="100" spans="2:9" ht="15.75" thickBot="1">
      <c r="B100" s="289" t="s">
        <v>102</v>
      </c>
      <c r="C100" s="290"/>
      <c r="D100" s="290"/>
      <c r="E100" s="290"/>
      <c r="F100" s="290"/>
      <c r="G100" s="290"/>
      <c r="H100" s="291">
        <f>SUM(H97:I99)</f>
        <v>7426.0166666666673</v>
      </c>
      <c r="I100" s="292"/>
    </row>
    <row r="101" spans="2:9" ht="15.75" thickBot="1">
      <c r="B101" s="321" t="s">
        <v>118</v>
      </c>
      <c r="C101" s="322"/>
      <c r="D101" s="322"/>
      <c r="E101" s="322"/>
      <c r="F101" s="323"/>
      <c r="G101" s="209">
        <v>5</v>
      </c>
      <c r="H101" s="324">
        <f>H100*G101</f>
        <v>37130.083333333336</v>
      </c>
      <c r="I101" s="325"/>
    </row>
    <row r="102" spans="2:9">
      <c r="B102" s="332"/>
      <c r="C102" s="333"/>
      <c r="D102" s="333"/>
      <c r="E102" s="333"/>
      <c r="F102" s="333"/>
      <c r="G102" s="333"/>
      <c r="H102" s="333"/>
      <c r="I102" s="334"/>
    </row>
    <row r="103" spans="2:9">
      <c r="B103" s="335"/>
      <c r="C103" s="336"/>
      <c r="D103" s="336"/>
      <c r="E103" s="336"/>
      <c r="F103" s="336"/>
      <c r="G103" s="336"/>
      <c r="H103" s="336"/>
      <c r="I103" s="337"/>
    </row>
    <row r="104" spans="2:9" ht="15.75" thickBot="1">
      <c r="B104" s="303" t="s">
        <v>108</v>
      </c>
      <c r="C104" s="304"/>
      <c r="D104" s="304"/>
      <c r="E104" s="304"/>
      <c r="F104" s="304"/>
      <c r="G104" s="304"/>
      <c r="H104" s="305" t="s">
        <v>92</v>
      </c>
      <c r="I104" s="306"/>
    </row>
    <row r="105" spans="2:9">
      <c r="B105" s="307" t="s">
        <v>112</v>
      </c>
      <c r="C105" s="308"/>
      <c r="D105" s="308"/>
      <c r="E105" s="308"/>
      <c r="F105" s="308"/>
      <c r="G105" s="308"/>
      <c r="H105" s="340">
        <v>10213.060000000001</v>
      </c>
      <c r="I105" s="341"/>
    </row>
    <row r="106" spans="2:9">
      <c r="B106" s="293" t="s">
        <v>113</v>
      </c>
      <c r="C106" s="294"/>
      <c r="D106" s="294"/>
      <c r="E106" s="294"/>
      <c r="F106" s="294"/>
      <c r="G106" s="295"/>
      <c r="H106" s="296">
        <v>833.43</v>
      </c>
      <c r="I106" s="297"/>
    </row>
    <row r="107" spans="2:9">
      <c r="B107" s="293" t="s">
        <v>114</v>
      </c>
      <c r="C107" s="294"/>
      <c r="D107" s="294"/>
      <c r="E107" s="294"/>
      <c r="F107" s="294"/>
      <c r="G107" s="295"/>
      <c r="H107" s="291">
        <f>H105/3</f>
        <v>3404.3533333333339</v>
      </c>
      <c r="I107" s="292"/>
    </row>
    <row r="108" spans="2:9" ht="15.75" thickBot="1">
      <c r="B108" s="289" t="s">
        <v>102</v>
      </c>
      <c r="C108" s="290"/>
      <c r="D108" s="290"/>
      <c r="E108" s="290"/>
      <c r="F108" s="290"/>
      <c r="G108" s="290"/>
      <c r="H108" s="342">
        <f>SUM(H105:I107)</f>
        <v>14450.843333333336</v>
      </c>
      <c r="I108" s="343"/>
    </row>
    <row r="109" spans="2:9" ht="15.75" thickBot="1">
      <c r="B109" s="321" t="s">
        <v>119</v>
      </c>
      <c r="C109" s="322"/>
      <c r="D109" s="322"/>
      <c r="E109" s="322"/>
      <c r="F109" s="323"/>
      <c r="G109" s="209">
        <v>1</v>
      </c>
      <c r="H109" s="324">
        <f>H108*G109</f>
        <v>14450.843333333336</v>
      </c>
      <c r="I109" s="325"/>
    </row>
    <row r="110" spans="2:9">
      <c r="B110" s="344"/>
      <c r="C110" s="344"/>
      <c r="D110" s="344"/>
      <c r="E110" s="344"/>
      <c r="F110" s="344"/>
      <c r="G110" s="344"/>
      <c r="H110" s="344"/>
      <c r="I110" s="344"/>
    </row>
    <row r="111" spans="2:9" ht="15.75" thickBot="1">
      <c r="B111" s="345"/>
      <c r="C111" s="345"/>
      <c r="D111" s="345"/>
      <c r="E111" s="345"/>
      <c r="F111" s="345"/>
      <c r="G111" s="345"/>
      <c r="H111" s="345"/>
      <c r="I111" s="345"/>
    </row>
    <row r="112" spans="2:9" ht="15.75" thickBot="1">
      <c r="B112" s="346" t="s">
        <v>120</v>
      </c>
      <c r="C112" s="346"/>
      <c r="D112" s="346"/>
      <c r="E112" s="346"/>
      <c r="F112" s="346"/>
      <c r="G112" s="346"/>
      <c r="H112" s="347">
        <f>H21+H34+H45+H55+H69+H77+H85+H93+H101+H109</f>
        <v>416093.48666666658</v>
      </c>
      <c r="I112" s="348"/>
    </row>
  </sheetData>
  <mergeCells count="187">
    <mergeCell ref="B108:G108"/>
    <mergeCell ref="H108:I108"/>
    <mergeCell ref="B109:F109"/>
    <mergeCell ref="H109:I109"/>
    <mergeCell ref="B110:I111"/>
    <mergeCell ref="B112:G112"/>
    <mergeCell ref="H112:I112"/>
    <mergeCell ref="B105:G105"/>
    <mergeCell ref="H105:I105"/>
    <mergeCell ref="B106:G106"/>
    <mergeCell ref="H106:I106"/>
    <mergeCell ref="B107:G107"/>
    <mergeCell ref="H107:I107"/>
    <mergeCell ref="B100:G100"/>
    <mergeCell ref="H100:I100"/>
    <mergeCell ref="B101:F101"/>
    <mergeCell ref="H101:I101"/>
    <mergeCell ref="B102:I103"/>
    <mergeCell ref="B104:G104"/>
    <mergeCell ref="H104:I104"/>
    <mergeCell ref="B97:G97"/>
    <mergeCell ref="H97:I97"/>
    <mergeCell ref="B98:G98"/>
    <mergeCell ref="H98:I98"/>
    <mergeCell ref="B99:G99"/>
    <mergeCell ref="H99:I99"/>
    <mergeCell ref="B92:G92"/>
    <mergeCell ref="H92:I92"/>
    <mergeCell ref="B93:F93"/>
    <mergeCell ref="H93:I93"/>
    <mergeCell ref="B94:I95"/>
    <mergeCell ref="B96:G96"/>
    <mergeCell ref="H96:I96"/>
    <mergeCell ref="B89:G89"/>
    <mergeCell ref="H89:I89"/>
    <mergeCell ref="B90:G90"/>
    <mergeCell ref="H90:I90"/>
    <mergeCell ref="B91:G91"/>
    <mergeCell ref="H91:I91"/>
    <mergeCell ref="B84:G84"/>
    <mergeCell ref="H84:I84"/>
    <mergeCell ref="B85:F85"/>
    <mergeCell ref="H85:I85"/>
    <mergeCell ref="B86:I87"/>
    <mergeCell ref="B88:G88"/>
    <mergeCell ref="H88:I88"/>
    <mergeCell ref="B81:G81"/>
    <mergeCell ref="H81:I81"/>
    <mergeCell ref="B82:G82"/>
    <mergeCell ref="H82:I82"/>
    <mergeCell ref="B83:G83"/>
    <mergeCell ref="H83:I83"/>
    <mergeCell ref="B76:G76"/>
    <mergeCell ref="H76:I76"/>
    <mergeCell ref="B77:F77"/>
    <mergeCell ref="H77:I77"/>
    <mergeCell ref="B78:I79"/>
    <mergeCell ref="B80:G80"/>
    <mergeCell ref="H80:I80"/>
    <mergeCell ref="B73:G73"/>
    <mergeCell ref="H73:I73"/>
    <mergeCell ref="B74:G74"/>
    <mergeCell ref="H74:I74"/>
    <mergeCell ref="B75:G75"/>
    <mergeCell ref="H75:I75"/>
    <mergeCell ref="B68:G68"/>
    <mergeCell ref="H68:I68"/>
    <mergeCell ref="B69:F69"/>
    <mergeCell ref="H69:I69"/>
    <mergeCell ref="B70:I71"/>
    <mergeCell ref="B72:G72"/>
    <mergeCell ref="H72:I72"/>
    <mergeCell ref="B65:G65"/>
    <mergeCell ref="H65:I65"/>
    <mergeCell ref="B66:G66"/>
    <mergeCell ref="H66:I66"/>
    <mergeCell ref="B67:G67"/>
    <mergeCell ref="H67:I67"/>
    <mergeCell ref="B62:G62"/>
    <mergeCell ref="H62:I62"/>
    <mergeCell ref="B63:G63"/>
    <mergeCell ref="H63:I63"/>
    <mergeCell ref="B64:G64"/>
    <mergeCell ref="H64:I64"/>
    <mergeCell ref="B59:G59"/>
    <mergeCell ref="H59:I59"/>
    <mergeCell ref="B60:G60"/>
    <mergeCell ref="H60:I60"/>
    <mergeCell ref="B61:G61"/>
    <mergeCell ref="H61:I61"/>
    <mergeCell ref="B54:G54"/>
    <mergeCell ref="H54:I54"/>
    <mergeCell ref="B55:F55"/>
    <mergeCell ref="H55:I55"/>
    <mergeCell ref="B56:I57"/>
    <mergeCell ref="B58:G58"/>
    <mergeCell ref="H58:I58"/>
    <mergeCell ref="B51:G51"/>
    <mergeCell ref="H51:I51"/>
    <mergeCell ref="B52:G52"/>
    <mergeCell ref="H52:I52"/>
    <mergeCell ref="B53:G53"/>
    <mergeCell ref="H53:I53"/>
    <mergeCell ref="B46:I47"/>
    <mergeCell ref="B48:G48"/>
    <mergeCell ref="H48:I48"/>
    <mergeCell ref="B49:G49"/>
    <mergeCell ref="H49:I49"/>
    <mergeCell ref="B50:G50"/>
    <mergeCell ref="H50:I50"/>
    <mergeCell ref="B43:G43"/>
    <mergeCell ref="H43:I43"/>
    <mergeCell ref="B44:G44"/>
    <mergeCell ref="H44:I44"/>
    <mergeCell ref="B45:F45"/>
    <mergeCell ref="H45:I45"/>
    <mergeCell ref="B40:G40"/>
    <mergeCell ref="H40:I40"/>
    <mergeCell ref="B41:G41"/>
    <mergeCell ref="H41:I41"/>
    <mergeCell ref="B42:G42"/>
    <mergeCell ref="H42:I42"/>
    <mergeCell ref="B35:I36"/>
    <mergeCell ref="B37:G37"/>
    <mergeCell ref="H37:I37"/>
    <mergeCell ref="B38:G38"/>
    <mergeCell ref="H38:I38"/>
    <mergeCell ref="B39:G39"/>
    <mergeCell ref="H39:I39"/>
    <mergeCell ref="B32:G32"/>
    <mergeCell ref="H32:I32"/>
    <mergeCell ref="B33:G33"/>
    <mergeCell ref="H33:I33"/>
    <mergeCell ref="B34:F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1:F21"/>
    <mergeCell ref="H21:I21"/>
    <mergeCell ref="B22:I23"/>
    <mergeCell ref="B24:G24"/>
    <mergeCell ref="H24:I24"/>
    <mergeCell ref="B25:G25"/>
    <mergeCell ref="H25:I25"/>
    <mergeCell ref="B18:G18"/>
    <mergeCell ref="H18:I18"/>
    <mergeCell ref="B19:G19"/>
    <mergeCell ref="H19:I19"/>
    <mergeCell ref="B20:G20"/>
    <mergeCell ref="H20:I20"/>
    <mergeCell ref="B15:G15"/>
    <mergeCell ref="H15:I15"/>
    <mergeCell ref="B16:G16"/>
    <mergeCell ref="H16:I16"/>
    <mergeCell ref="B17:G17"/>
    <mergeCell ref="H17:I17"/>
    <mergeCell ref="B12:G12"/>
    <mergeCell ref="H12:I12"/>
    <mergeCell ref="B13:G13"/>
    <mergeCell ref="H13:I13"/>
    <mergeCell ref="B14:G14"/>
    <mergeCell ref="H14:I14"/>
    <mergeCell ref="B8:I9"/>
    <mergeCell ref="B10:G10"/>
    <mergeCell ref="H10:I10"/>
    <mergeCell ref="B11:G11"/>
    <mergeCell ref="H11:I11"/>
    <mergeCell ref="B2:C2"/>
    <mergeCell ref="D2:E2"/>
    <mergeCell ref="F2:G2"/>
    <mergeCell ref="H2:I2"/>
    <mergeCell ref="B4:I4"/>
    <mergeCell ref="B5:C6"/>
    <mergeCell ref="D5:I6"/>
    <mergeCell ref="F7:G7"/>
    <mergeCell ref="H7:I7"/>
    <mergeCell ref="B3:I3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B3:I9"/>
  <sheetViews>
    <sheetView showGridLines="0" workbookViewId="0">
      <selection activeCell="O16" sqref="O16"/>
    </sheetView>
  </sheetViews>
  <sheetFormatPr defaultRowHeight="15"/>
  <cols>
    <col min="3" max="3" width="8.85546875" customWidth="1"/>
    <col min="5" max="5" width="19.5703125" customWidth="1"/>
    <col min="6" max="6" width="11.42578125" customWidth="1"/>
    <col min="8" max="8" width="13.7109375" customWidth="1"/>
    <col min="9" max="9" width="18.5703125" customWidth="1"/>
  </cols>
  <sheetData>
    <row r="3" spans="2:9" ht="15.75" customHeight="1">
      <c r="B3" s="352" t="s">
        <v>121</v>
      </c>
      <c r="C3" s="352"/>
      <c r="D3" s="352"/>
      <c r="E3" s="352"/>
      <c r="F3" s="352"/>
      <c r="G3" s="352"/>
      <c r="H3" s="352"/>
      <c r="I3" s="352"/>
    </row>
    <row r="4" spans="2:9" ht="15.75" customHeight="1" thickBot="1">
      <c r="B4" s="353"/>
      <c r="C4" s="353"/>
      <c r="D4" s="353"/>
      <c r="E4" s="353"/>
      <c r="F4" s="353"/>
      <c r="G4" s="353"/>
      <c r="H4" s="353"/>
      <c r="I4" s="353"/>
    </row>
    <row r="5" spans="2:9" ht="33" customHeight="1" thickTop="1">
      <c r="B5" s="354" t="s">
        <v>87</v>
      </c>
      <c r="C5" s="355"/>
      <c r="D5" s="355" t="s">
        <v>122</v>
      </c>
      <c r="E5" s="65" t="s">
        <v>123</v>
      </c>
      <c r="F5" s="63" t="s">
        <v>124</v>
      </c>
      <c r="G5" s="63" t="s">
        <v>125</v>
      </c>
      <c r="H5" s="63" t="s">
        <v>126</v>
      </c>
      <c r="I5" s="358" t="s">
        <v>127</v>
      </c>
    </row>
    <row r="6" spans="2:9" ht="30.75" thickBot="1">
      <c r="B6" s="356"/>
      <c r="C6" s="357"/>
      <c r="D6" s="357"/>
      <c r="E6" s="210" t="s">
        <v>128</v>
      </c>
      <c r="F6" s="210" t="s">
        <v>129</v>
      </c>
      <c r="G6" s="210" t="s">
        <v>130</v>
      </c>
      <c r="H6" s="211" t="s">
        <v>131</v>
      </c>
      <c r="I6" s="359"/>
    </row>
    <row r="7" spans="2:9" ht="15.75" thickBot="1">
      <c r="B7" s="360" t="s">
        <v>132</v>
      </c>
      <c r="C7" s="361"/>
      <c r="D7" s="64" t="s">
        <v>133</v>
      </c>
      <c r="E7" s="64">
        <v>177.19</v>
      </c>
      <c r="F7" s="64">
        <v>0.34</v>
      </c>
      <c r="G7" s="212">
        <f>E7*F7</f>
        <v>60.244600000000005</v>
      </c>
      <c r="H7" s="64">
        <f>30*20</f>
        <v>600</v>
      </c>
      <c r="I7" s="70">
        <f>G7*H7</f>
        <v>36146.76</v>
      </c>
    </row>
    <row r="8" spans="2:9" ht="18.75" thickTop="1" thickBot="1">
      <c r="B8" s="349" t="s">
        <v>134</v>
      </c>
      <c r="C8" s="350"/>
      <c r="D8" s="350"/>
      <c r="E8" s="350"/>
      <c r="F8" s="350"/>
      <c r="G8" s="350"/>
      <c r="H8" s="351"/>
      <c r="I8" s="71">
        <f>I7*12</f>
        <v>433761.12</v>
      </c>
    </row>
    <row r="9" spans="2:9" ht="15.75" thickTop="1"/>
  </sheetData>
  <mergeCells count="6">
    <mergeCell ref="B8:H8"/>
    <mergeCell ref="B3:I4"/>
    <mergeCell ref="B5:C6"/>
    <mergeCell ref="D5:D6"/>
    <mergeCell ref="I5:I6"/>
    <mergeCell ref="B7:C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B3:G11"/>
  <sheetViews>
    <sheetView showGridLines="0" zoomScale="110" zoomScaleNormal="110" workbookViewId="0">
      <selection sqref="A1:XFD1048576"/>
    </sheetView>
  </sheetViews>
  <sheetFormatPr defaultRowHeight="15"/>
  <cols>
    <col min="1" max="1" width="3.28515625" customWidth="1"/>
    <col min="3" max="3" width="14" customWidth="1"/>
    <col min="5" max="5" width="22.5703125" customWidth="1"/>
    <col min="6" max="6" width="18.7109375" customWidth="1"/>
    <col min="7" max="7" width="28.42578125" customWidth="1"/>
  </cols>
  <sheetData>
    <row r="3" spans="2:7" ht="15.75" customHeight="1">
      <c r="B3" s="352" t="s">
        <v>135</v>
      </c>
      <c r="C3" s="352"/>
      <c r="D3" s="352"/>
      <c r="E3" s="352"/>
      <c r="F3" s="352"/>
      <c r="G3" s="352"/>
    </row>
    <row r="4" spans="2:7" ht="15.75" customHeight="1" thickBot="1">
      <c r="B4" s="353"/>
      <c r="C4" s="353"/>
      <c r="D4" s="353"/>
      <c r="E4" s="353"/>
      <c r="F4" s="353"/>
      <c r="G4" s="353"/>
    </row>
    <row r="5" spans="2:7" ht="15.75" thickTop="1">
      <c r="B5" s="354" t="s">
        <v>87</v>
      </c>
      <c r="C5" s="355"/>
      <c r="D5" s="355" t="s">
        <v>122</v>
      </c>
      <c r="E5" s="65" t="s">
        <v>123</v>
      </c>
      <c r="F5" s="63" t="s">
        <v>124</v>
      </c>
      <c r="G5" s="69" t="s">
        <v>125</v>
      </c>
    </row>
    <row r="6" spans="2:7" ht="15.75" thickBot="1">
      <c r="B6" s="356"/>
      <c r="C6" s="357"/>
      <c r="D6" s="357"/>
      <c r="E6" s="210" t="s">
        <v>136</v>
      </c>
      <c r="F6" s="210" t="s">
        <v>137</v>
      </c>
      <c r="G6" s="213" t="s">
        <v>130</v>
      </c>
    </row>
    <row r="7" spans="2:7">
      <c r="B7" s="362" t="s">
        <v>138</v>
      </c>
      <c r="C7" s="363"/>
      <c r="D7" s="66" t="s">
        <v>139</v>
      </c>
      <c r="E7" s="67">
        <f>30*30</f>
        <v>900</v>
      </c>
      <c r="F7" s="66">
        <v>10.94</v>
      </c>
      <c r="G7" s="68">
        <f>E7*F7</f>
        <v>9846</v>
      </c>
    </row>
    <row r="8" spans="2:7" ht="15.75" thickBot="1">
      <c r="B8" s="364" t="s">
        <v>140</v>
      </c>
      <c r="C8" s="365"/>
      <c r="D8" s="212" t="s">
        <v>139</v>
      </c>
      <c r="E8" s="214">
        <f>30*30</f>
        <v>900</v>
      </c>
      <c r="F8" s="212">
        <v>10.94</v>
      </c>
      <c r="G8" s="215">
        <f>E8*F8</f>
        <v>9846</v>
      </c>
    </row>
    <row r="9" spans="2:7" ht="17.25" thickTop="1" thickBot="1">
      <c r="B9" s="352" t="s">
        <v>141</v>
      </c>
      <c r="C9" s="352"/>
      <c r="D9" s="352"/>
      <c r="E9" s="352"/>
      <c r="F9" s="352"/>
      <c r="G9" s="182">
        <f>G7+G8</f>
        <v>19692</v>
      </c>
    </row>
    <row r="10" spans="2:7" ht="17.25" thickTop="1" thickBot="1">
      <c r="B10" s="352" t="s">
        <v>134</v>
      </c>
      <c r="C10" s="352"/>
      <c r="D10" s="352"/>
      <c r="E10" s="352"/>
      <c r="F10" s="352"/>
      <c r="G10" s="182">
        <f>G9*12</f>
        <v>236304</v>
      </c>
    </row>
    <row r="11" spans="2:7" ht="15.75" thickTop="1"/>
  </sheetData>
  <mergeCells count="7">
    <mergeCell ref="B10:F10"/>
    <mergeCell ref="B3:G4"/>
    <mergeCell ref="B5:C6"/>
    <mergeCell ref="D5:D6"/>
    <mergeCell ref="B7:C7"/>
    <mergeCell ref="B8:C8"/>
    <mergeCell ref="B9:F9"/>
  </mergeCell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216EDD7A1E8B47BBE8C77E294F8BDF" ma:contentTypeVersion="5" ma:contentTypeDescription="Crie um novo documento." ma:contentTypeScope="" ma:versionID="165a1d60b9e84525dcee79afa22f683e">
  <xsd:schema xmlns:xsd="http://www.w3.org/2001/XMLSchema" xmlns:xs="http://www.w3.org/2001/XMLSchema" xmlns:p="http://schemas.microsoft.com/office/2006/metadata/properties" xmlns:ns2="4b520b24-8996-453a-8c5e-60294695dd12" xmlns:ns3="c02fd331-f63f-4f96-9a81-a61f37ccb986" targetNamespace="http://schemas.microsoft.com/office/2006/metadata/properties" ma:root="true" ma:fieldsID="50fc66d9325ff513ed82e0c608a76674" ns2:_="" ns3:_="">
    <xsd:import namespace="4b520b24-8996-453a-8c5e-60294695dd12"/>
    <xsd:import namespace="c02fd331-f63f-4f96-9a81-a61f37ccb9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20b24-8996-453a-8c5e-60294695dd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fd331-f63f-4f96-9a81-a61f37ccb9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b520b24-8996-453a-8c5e-60294695dd12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255650B-7055-46AC-9E82-0725E3C1A4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0A8B68-86A2-459E-9D95-5FE03D2E0D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520b24-8996-453a-8c5e-60294695dd12"/>
    <ds:schemaRef ds:uri="c02fd331-f63f-4f96-9a81-a61f37ccb9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A5889E-B9FD-4B03-A2B7-32024434DEB7}">
  <ds:schemaRefs>
    <ds:schemaRef ds:uri="http://schemas.microsoft.com/office/2006/metadata/properties"/>
    <ds:schemaRef ds:uri="http://schemas.microsoft.com/office/infopath/2007/PartnerControls"/>
    <ds:schemaRef ds:uri="4b520b24-8996-453a-8c5e-60294695dd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Índice</vt:lpstr>
      <vt:lpstr>Preço da Coleta</vt:lpstr>
      <vt:lpstr>Preço do Tratamento</vt:lpstr>
      <vt:lpstr>Preço Disp Final</vt:lpstr>
      <vt:lpstr>Preço do RCC</vt:lpstr>
      <vt:lpstr>Preço_Eventos</vt:lpstr>
      <vt:lpstr>Custo com pessoal</vt:lpstr>
      <vt:lpstr>Custo com Energia</vt:lpstr>
      <vt:lpstr>Custo com Água</vt:lpstr>
      <vt:lpstr>Custos operacionais </vt:lpstr>
      <vt:lpstr>Bens de Uso Geral</vt:lpstr>
      <vt:lpstr>BRC</vt:lpstr>
      <vt:lpstr>Custo de Capital</vt:lpstr>
      <vt:lpstr>Rem. Adequada</vt:lpstr>
      <vt:lpstr>Distâncias</vt:lpstr>
      <vt:lpstr>BDI_DispF</vt:lpstr>
      <vt:lpstr>BDI_Geral</vt:lpstr>
      <vt:lpstr>Anexo Único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Geraldi, Fernanda (BR - Sao Paulo)</dc:creator>
  <cp:keywords/>
  <dc:description/>
  <cp:lastModifiedBy>Luis Claudio Moraes</cp:lastModifiedBy>
  <cp:revision/>
  <dcterms:created xsi:type="dcterms:W3CDTF">2015-08-03T19:33:01Z</dcterms:created>
  <dcterms:modified xsi:type="dcterms:W3CDTF">2023-11-14T13:10:07Z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0x010100B6216EDD7A1E8B47BBE8C77E294F8BDF</vt:lpwstr>
  </property>
  <property fmtid="{D5CDD505-2E9C-101B-9397-08002B2CF9AE}" pid="3" name="ComplianceAssetId">
    <vt:lpwstr/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