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mc:AlternateContent xmlns:mc="http://schemas.openxmlformats.org/markup-compatibility/2006">
    <mc:Choice Requires="x15">
      <x15ac:absPath xmlns:x15ac="http://schemas.microsoft.com/office/spreadsheetml/2010/11/ac" url="C:\Users\Caio Queiroz\Downloads\"/>
    </mc:Choice>
  </mc:AlternateContent>
  <xr:revisionPtr revIDLastSave="0" documentId="8_{C207A12D-6B6A-41C8-939B-5F9F58B73236}" xr6:coauthVersionLast="45" xr6:coauthVersionMax="45" xr10:uidLastSave="{00000000-0000-0000-0000-000000000000}"/>
  <bookViews>
    <workbookView xWindow="3405" yWindow="0" windowWidth="18195" windowHeight="11280" tabRatio="852" xr2:uid="{00000000-000D-0000-FFFF-FFFF00000000}"/>
  </bookViews>
  <sheets>
    <sheet name="Resumo dos preços" sheetId="138" r:id="rId1"/>
    <sheet name="RCC" sheetId="144" r:id="rId2"/>
    <sheet name="Preço Eventos" sheetId="134" r:id="rId3"/>
    <sheet name="BDI_Geral" sheetId="135" r:id="rId4"/>
    <sheet name="Preço Coleta" sheetId="136" r:id="rId5"/>
    <sheet name="Preço do Aterro" sheetId="123" r:id="rId6"/>
    <sheet name="Custos diretos" sheetId="114" r:id="rId7"/>
    <sheet name="Custos indiretos" sheetId="125" r:id="rId8"/>
    <sheet name="Despesa com pessoal" sheetId="128" r:id="rId9"/>
    <sheet name="Estação de Trabalho" sheetId="127" r:id="rId10"/>
    <sheet name="Rem. Adequada" sheetId="119" r:id="rId11"/>
    <sheet name="Investimentos" sheetId="118" r:id="rId12"/>
    <sheet name="Custo de Capital" sheetId="14" r:id="rId13"/>
    <sheet name="Provisões e Terreno" sheetId="141" r:id="rId14"/>
  </sheets>
  <externalReferences>
    <externalReference r:id="rId15"/>
    <externalReference r:id="rId16"/>
    <externalReference r:id="rId17"/>
    <externalReference r:id="rId18"/>
    <externalReference r:id="rId19"/>
  </externalReferences>
  <definedNames>
    <definedName name="_xlnm._FilterDatabase" localSheetId="8" hidden="1">'Despesa com pessoal'!$A$38:$G$94</definedName>
    <definedName name="_xlnm._FilterDatabase" localSheetId="9" hidden="1">'Estação de Trabalho'!#REF!</definedName>
    <definedName name="_R57_2007" localSheetId="3">[1]Parâmetros!#REF!</definedName>
    <definedName name="_R57_2007" localSheetId="7">[1]Parâmetros!#REF!</definedName>
    <definedName name="_R57_2007" localSheetId="8">[1]Parâmetros!#REF!</definedName>
    <definedName name="_R57_2007" localSheetId="9">[1]Parâmetros!#REF!</definedName>
    <definedName name="_R57_2007" localSheetId="11">[1]Parâmetros!#REF!</definedName>
    <definedName name="_R57_2007" localSheetId="1">[1]Parâmetros!#REF!</definedName>
    <definedName name="_R57_2007" localSheetId="10">[1]Parâmetros!#REF!</definedName>
    <definedName name="_R57_2007" localSheetId="0">[1]Parâmetros!#REF!</definedName>
    <definedName name="_R57_2007">[1]Parâmetros!#REF!</definedName>
    <definedName name="AdicionalIR" localSheetId="3">#REF!</definedName>
    <definedName name="AdicionalIR" localSheetId="7">#REF!</definedName>
    <definedName name="AdicionalIR" localSheetId="8">#REF!</definedName>
    <definedName name="AdicionalIR" localSheetId="9">#REF!</definedName>
    <definedName name="AdicionalIR" localSheetId="11">#REF!</definedName>
    <definedName name="AdicionalIR" localSheetId="1">#REF!</definedName>
    <definedName name="AdicionalIR" localSheetId="10">#REF!</definedName>
    <definedName name="AdicionalIR" localSheetId="0">#REF!</definedName>
    <definedName name="AdicionalIR">#REF!</definedName>
    <definedName name="AlugCentral">'[2]E-AdmSist'!$D$9</definedName>
    <definedName name="AlugCom">'[2]E-AdmSist'!$D$11</definedName>
    <definedName name="AlugETA_ETE">'[2]E-AdmSist'!$D$12</definedName>
    <definedName name="AlugPA">'[2]E-AdmSist'!$D$10</definedName>
    <definedName name="_xlnm.Print_Area" localSheetId="3">#REF!</definedName>
    <definedName name="_xlnm.Print_Area" localSheetId="6">'Custos diretos'!$D$19:$F$37</definedName>
    <definedName name="_xlnm.Print_Area" localSheetId="7">'Custos indiretos'!$C$3:$E$17</definedName>
    <definedName name="_xlnm.Print_Area" localSheetId="8">'Despesa com pessoal'!#REF!</definedName>
    <definedName name="_xlnm.Print_Area" localSheetId="9">'Estação de Trabalho'!$B$18:$D$61</definedName>
    <definedName name="_xlnm.Print_Area" localSheetId="11">Investimentos!$B$16:$H$115</definedName>
    <definedName name="_xlnm.Print_Area" localSheetId="4">'Preço Coleta'!#REF!</definedName>
    <definedName name="_xlnm.Print_Area" localSheetId="5">'Preço do Aterro'!$B$18:$C$45</definedName>
    <definedName name="_xlnm.Print_Area" localSheetId="2">'Preço Eventos'!#REF!</definedName>
    <definedName name="_xlnm.Print_Area" localSheetId="1">RCC!$B$23:$G$27</definedName>
    <definedName name="_xlnm.Print_Area" localSheetId="10">'Rem. Adequada'!$A$14:$A$45</definedName>
    <definedName name="_xlnm.Print_Area" localSheetId="0">'Resumo dos preços'!#REF!</definedName>
    <definedName name="_xlnm.Print_Area">#REF!</definedName>
    <definedName name="AreaEst">'[2]E-AdmSist'!$I$9</definedName>
    <definedName name="AreaLabC">'[2]E-AdmSist'!$D$21</definedName>
    <definedName name="AreaOficC">'[2]E-AdmSist'!$D$22</definedName>
    <definedName name="B" localSheetId="3">[3]DRE!#REF!</definedName>
    <definedName name="B" localSheetId="7">[3]DRE!#REF!</definedName>
    <definedName name="B" localSheetId="8">[3]DRE!#REF!</definedName>
    <definedName name="B" localSheetId="9">[3]DRE!#REF!</definedName>
    <definedName name="B" localSheetId="1">[3]DRE!#REF!</definedName>
    <definedName name="B" localSheetId="0">[3]DRE!#REF!</definedName>
    <definedName name="B">[3]DRE!#REF!</definedName>
    <definedName name="BaseIR" localSheetId="3">#REF!</definedName>
    <definedName name="BaseIR" localSheetId="7">#REF!</definedName>
    <definedName name="BaseIR" localSheetId="8">#REF!</definedName>
    <definedName name="BaseIR" localSheetId="9">#REF!</definedName>
    <definedName name="BaseIR" localSheetId="1">#REF!</definedName>
    <definedName name="BaseIR" localSheetId="0">#REF!</definedName>
    <definedName name="BaseIR">#REF!</definedName>
    <definedName name="Beneficio">'[2]P-Indices'!$D$20</definedName>
    <definedName name="Capacitação">'[2]P-Indices'!$D$18</definedName>
    <definedName name="CAPM" localSheetId="3">#REF!</definedName>
    <definedName name="CAPM" localSheetId="7">#REF!</definedName>
    <definedName name="CAPM" localSheetId="8">#REF!</definedName>
    <definedName name="CAPM" localSheetId="9">#REF!</definedName>
    <definedName name="CAPM" localSheetId="1">#REF!</definedName>
    <definedName name="CAPM" localSheetId="0">#REF!</definedName>
    <definedName name="CAPM">#REF!</definedName>
    <definedName name="CRA">'[2]C-Teleatendimento'!$D$9</definedName>
    <definedName name="CS_NEG" localSheetId="3">#REF!</definedName>
    <definedName name="CS_NEG" localSheetId="7">#REF!</definedName>
    <definedName name="CS_NEG" localSheetId="8">#REF!</definedName>
    <definedName name="CS_NEG" localSheetId="9">#REF!</definedName>
    <definedName name="CS_NEG" localSheetId="1">#REF!</definedName>
    <definedName name="CS_NEG" localSheetId="0">#REF!</definedName>
    <definedName name="CS_NEG">#REF!</definedName>
    <definedName name="CS_PERC" localSheetId="3">#REF!</definedName>
    <definedName name="CS_PERC" localSheetId="7">#REF!</definedName>
    <definedName name="CS_PERC" localSheetId="8">#REF!</definedName>
    <definedName name="CS_PERC" localSheetId="9">#REF!</definedName>
    <definedName name="CS_PERC" localSheetId="1">#REF!</definedName>
    <definedName name="CS_PERC" localSheetId="0">#REF!</definedName>
    <definedName name="CS_PERC">#REF!</definedName>
    <definedName name="CTIPO" localSheetId="3">#REF!</definedName>
    <definedName name="CTIPO" localSheetId="7">#REF!</definedName>
    <definedName name="CTIPO" localSheetId="8">#REF!</definedName>
    <definedName name="CTIPO" localSheetId="9">#REF!</definedName>
    <definedName name="CTIPO" localSheetId="1">#REF!</definedName>
    <definedName name="CTIPO" localSheetId="0">#REF!</definedName>
    <definedName name="CTIPO">#REF!</definedName>
    <definedName name="CustAnalise">'[2]E-AdmSist'!$D$23</definedName>
    <definedName name="CustElet">'[2]E-AdmSist'!$D$18</definedName>
    <definedName name="CustEst">'[2]E-AdmSist'!$I$10</definedName>
    <definedName name="CustLimp">'[2]E-AdmSist'!$D$19</definedName>
    <definedName name="CustMovel">'[2]E-AdmSist'!$D$15</definedName>
    <definedName name="CustTel">'[2]E-AdmSist'!$D$17</definedName>
    <definedName name="Decimo_Terceiro">'[2]P-Indices'!$D$12</definedName>
    <definedName name="Deposito">'[2]E-AdmSist'!$D$16</definedName>
    <definedName name="dia_TrabMesCom">'[2]P-Indices'!$D$25</definedName>
    <definedName name="dia_TrabSem">'[2]P-Indices'!$D$24</definedName>
    <definedName name="Equipes">'[2]P-Equipes'!$B$11:$AV$105</definedName>
    <definedName name="FC_ElevEsg">'[2]E-Elevatorias'!$M$176</definedName>
    <definedName name="FC_ETE">'[2]E-ETA-ETE'!$J$86</definedName>
    <definedName name="fdgf">'[2]P-Indices'!$D$15</definedName>
    <definedName name="Ferias">'[2]P-Indices'!$D$13</definedName>
    <definedName name="FGTS">'[2]P-Indices'!$D$10</definedName>
    <definedName name="FreqAtCom">'[2]E-Estrutura'!$D$458</definedName>
    <definedName name="G" localSheetId="3">#REF!</definedName>
    <definedName name="G" localSheetId="7">#REF!</definedName>
    <definedName name="G" localSheetId="8">#REF!</definedName>
    <definedName name="G" localSheetId="9">#REF!</definedName>
    <definedName name="G" localSheetId="1">#REF!</definedName>
    <definedName name="G" localSheetId="0">#REF!</definedName>
    <definedName name="G">#REF!</definedName>
    <definedName name="gfhfgh">'[2]E-AdmSist'!$D$44</definedName>
    <definedName name="GR" localSheetId="3">#REF!</definedName>
    <definedName name="GR" localSheetId="7">#REF!</definedName>
    <definedName name="GR" localSheetId="8">#REF!</definedName>
    <definedName name="GR" localSheetId="9">#REF!</definedName>
    <definedName name="GR" localSheetId="1">#REF!</definedName>
    <definedName name="GR" localSheetId="0">#REF!</definedName>
    <definedName name="GR">#REF!</definedName>
    <definedName name="h_ElevEnerg">'[2]E-Elevatorias'!$D$10</definedName>
    <definedName name="h_OpEnerg">'[2]E-ETA-ETE'!$D$34</definedName>
    <definedName name="h_TrabDia">'[2]P-Indices'!$D$22</definedName>
    <definedName name="h_TrabOeM">'[2]P-Indices'!$D$23</definedName>
    <definedName name="h_VecDia">'[2]P-Indices'!$D$28</definedName>
    <definedName name="HoraExtra">'[2]P-Indices'!$D$19</definedName>
    <definedName name="IGPM_1">[2]Controle!$D$13</definedName>
    <definedName name="IGPM_2">[2]Controle!$D$16</definedName>
    <definedName name="Inativos">'[2]E-Economias'!$L$26</definedName>
    <definedName name="inflation" localSheetId="3">#REF!</definedName>
    <definedName name="inflation" localSheetId="7">#REF!</definedName>
    <definedName name="inflation" localSheetId="8">#REF!</definedName>
    <definedName name="inflation" localSheetId="9">#REF!</definedName>
    <definedName name="inflation" localSheetId="1">#REF!</definedName>
    <definedName name="inflation" localSheetId="0">#REF!</definedName>
    <definedName name="inflation">#REF!</definedName>
    <definedName name="Insalub_Max">'[2]P-Indices'!$D$17</definedName>
    <definedName name="Insalub_Med">'[2]P-Indices'!$D$16</definedName>
    <definedName name="Insalub_Min">'[2]P-Indices'!$D$15</definedName>
    <definedName name="INSS">'[2]P-Indices'!$D$9</definedName>
    <definedName name="InsumEscrit">'[2]E-AdmSist'!$D$20</definedName>
    <definedName name="InvHardPC">'[2]E-AdmSist'!$D$44</definedName>
    <definedName name="InvSoftPC">'[2]E-AdmSist'!$D$43</definedName>
    <definedName name="IPCA_1">[2]Controle!$D$12</definedName>
    <definedName name="IPCA_2">[2]Controle!$D$15</definedName>
    <definedName name="ir_perpetuo" localSheetId="3">#REF!</definedName>
    <definedName name="ir_perpetuo" localSheetId="7">#REF!</definedName>
    <definedName name="ir_perpetuo" localSheetId="8">#REF!</definedName>
    <definedName name="ir_perpetuo" localSheetId="9">#REF!</definedName>
    <definedName name="ir_perpetuo" localSheetId="1">#REF!</definedName>
    <definedName name="ir_perpetuo" localSheetId="0">#REF!</definedName>
    <definedName name="ir_perpetuo">#REF!</definedName>
    <definedName name="Lig_Ativ_Esg">'[2]E-Economias'!$J$39</definedName>
    <definedName name="Ligacoes_Tot">'[2]E-Economias'!$J$26</definedName>
    <definedName name="Lucro" localSheetId="3">#REF!</definedName>
    <definedName name="Lucro" localSheetId="7">#REF!</definedName>
    <definedName name="Lucro" localSheetId="8">#REF!</definedName>
    <definedName name="Lucro" localSheetId="9">#REF!</definedName>
    <definedName name="Lucro" localSheetId="1">#REF!</definedName>
    <definedName name="Lucro" localSheetId="0">#REF!</definedName>
    <definedName name="Lucro">#REF!</definedName>
    <definedName name="m2_Acom">'[2]E-AdmSist'!$D$14</definedName>
    <definedName name="m2_Indiv">'[2]E-AdmSist'!$D$13</definedName>
    <definedName name="Maquina">'[2]P-Veiculos'!$C$33:$W$47</definedName>
    <definedName name="MESES_A_PROJETAR" localSheetId="3">#REF!</definedName>
    <definedName name="MESES_A_PROJETAR" localSheetId="7">#REF!</definedName>
    <definedName name="MESES_A_PROJETAR" localSheetId="8">#REF!</definedName>
    <definedName name="MESES_A_PROJETAR" localSheetId="9">#REF!</definedName>
    <definedName name="MESES_A_PROJETAR" localSheetId="1">#REF!</definedName>
    <definedName name="MESES_A_PROJETAR" localSheetId="0">#REF!</definedName>
    <definedName name="MESES_A_PROJETAR">#REF!</definedName>
    <definedName name="MobDCom">'[2]E-AdmSist'!$I$13</definedName>
    <definedName name="MobDEng">'[2]E-AdmSist'!$I$15</definedName>
    <definedName name="MobDGest">'[2]E-AdmSist'!$I$16</definedName>
    <definedName name="MobPres">'[2]E-AdmSist'!$I$12</definedName>
    <definedName name="model" localSheetId="3">[4]Controle!#REF!</definedName>
    <definedName name="model" localSheetId="7">[4]Controle!#REF!</definedName>
    <definedName name="model" localSheetId="8">[4]Controle!#REF!</definedName>
    <definedName name="model" localSheetId="9">[4]Controle!#REF!</definedName>
    <definedName name="model" localSheetId="1">[4]Controle!#REF!</definedName>
    <definedName name="model" localSheetId="0">[4]Controle!#REF!</definedName>
    <definedName name="model">[4]Controle!#REF!</definedName>
    <definedName name="moeda" localSheetId="3">#REF!</definedName>
    <definedName name="moeda" localSheetId="7">#REF!</definedName>
    <definedName name="moeda" localSheetId="8">#REF!</definedName>
    <definedName name="moeda" localSheetId="9">#REF!</definedName>
    <definedName name="moeda" localSheetId="1">#REF!</definedName>
    <definedName name="moeda" localSheetId="0">#REF!</definedName>
    <definedName name="moeda">#REF!</definedName>
    <definedName name="o">'[5]T-Bonds'!$E$6</definedName>
    <definedName name="Pensao">'[2]P-Indices'!$D$21</definedName>
    <definedName name="PeriodoTaxa" localSheetId="3">#REF!</definedName>
    <definedName name="PeriodoTaxa" localSheetId="7">#REF!</definedName>
    <definedName name="PeriodoTaxa" localSheetId="8">#REF!</definedName>
    <definedName name="PeriodoTaxa" localSheetId="9">#REF!</definedName>
    <definedName name="PeriodoTaxa" localSheetId="1">#REF!</definedName>
    <definedName name="PeriodoTaxa" localSheetId="0">#REF!</definedName>
    <definedName name="PeriodoTaxa">#REF!</definedName>
    <definedName name="perpetuo" localSheetId="3">[3]DRE!#REF!</definedName>
    <definedName name="perpetuo" localSheetId="7">[3]DRE!#REF!</definedName>
    <definedName name="perpetuo" localSheetId="8">[3]DRE!#REF!</definedName>
    <definedName name="perpetuo" localSheetId="9">[3]DRE!#REF!</definedName>
    <definedName name="perpetuo" localSheetId="1">[3]DRE!#REF!</definedName>
    <definedName name="perpetuo" localSheetId="0">[3]DRE!#REF!</definedName>
    <definedName name="perpetuo">[3]DRE!#REF!</definedName>
    <definedName name="ponderada_abaixo" localSheetId="3">#REF!</definedName>
    <definedName name="ponderada_abaixo" localSheetId="7">#REF!</definedName>
    <definedName name="ponderada_abaixo" localSheetId="8">#REF!</definedName>
    <definedName name="ponderada_abaixo" localSheetId="9">#REF!</definedName>
    <definedName name="ponderada_abaixo" localSheetId="1">#REF!</definedName>
    <definedName name="ponderada_abaixo" localSheetId="0">#REF!</definedName>
    <definedName name="ponderada_abaixo">#REF!</definedName>
    <definedName name="ponderada_acima" localSheetId="3">#REF!</definedName>
    <definedName name="ponderada_acima" localSheetId="7">#REF!</definedName>
    <definedName name="ponderada_acima" localSheetId="8">#REF!</definedName>
    <definedName name="ponderada_acima" localSheetId="9">#REF!</definedName>
    <definedName name="ponderada_acima" localSheetId="1">#REF!</definedName>
    <definedName name="ponderada_acima" localSheetId="0">#REF!</definedName>
    <definedName name="ponderada_acima">#REF!</definedName>
    <definedName name="ponderada_simples" localSheetId="3">#REF!</definedName>
    <definedName name="ponderada_simples" localSheetId="7">#REF!</definedName>
    <definedName name="ponderada_simples" localSheetId="8">#REF!</definedName>
    <definedName name="ponderada_simples" localSheetId="9">#REF!</definedName>
    <definedName name="ponderada_simples" localSheetId="1">#REF!</definedName>
    <definedName name="ponderada_simples" localSheetId="0">#REF!</definedName>
    <definedName name="ponderada_simples">#REF!</definedName>
    <definedName name="Preço_Coleta__4444A1">'Resumo dos preços'!$C$14</definedName>
    <definedName name="Preço_da_Coleta_de_resíduos_sólidos_orgânicos_e_indiferenciados.">'Resumo dos preços'!$C$14</definedName>
    <definedName name="PREJFISC_ACUM" localSheetId="3">#REF!</definedName>
    <definedName name="PREJFISC_ACUM" localSheetId="7">#REF!</definedName>
    <definedName name="PREJFISC_ACUM" localSheetId="8">#REF!</definedName>
    <definedName name="PREJFISC_ACUM" localSheetId="9">#REF!</definedName>
    <definedName name="PREJFISC_ACUM" localSheetId="1">#REF!</definedName>
    <definedName name="PREJFISC_ACUM" localSheetId="0">#REF!</definedName>
    <definedName name="PREJFISC_ACUM">#REF!</definedName>
    <definedName name="ProdQuim">'[2]E-ETA-ETE'!$C$9:$D$29</definedName>
    <definedName name="Proposta" localSheetId="3">#REF!</definedName>
    <definedName name="Proposta" localSheetId="8">#REF!</definedName>
    <definedName name="Proposta" localSheetId="9">#REF!</definedName>
    <definedName name="Proposta" localSheetId="1">#REF!</definedName>
    <definedName name="Proposta" localSheetId="0">#REF!</definedName>
    <definedName name="Proposta">#REF!</definedName>
    <definedName name="SalarioMinimo">'[2]P-Indices'!$D$11</definedName>
    <definedName name="Salarios">'[2]P-Salarios'!$C$9:$V$60</definedName>
    <definedName name="sem_TrabAno">'[2]P-Indices'!$D$26</definedName>
    <definedName name="sem_TrabVEC">'[2]P-Indices'!$D$27</definedName>
    <definedName name="simple" localSheetId="3">[4]BETA!#REF!</definedName>
    <definedName name="simple" localSheetId="7">[4]BETA!#REF!</definedName>
    <definedName name="simple" localSheetId="8">[4]BETA!#REF!</definedName>
    <definedName name="simple" localSheetId="9">[4]BETA!#REF!</definedName>
    <definedName name="simple" localSheetId="1">[4]BETA!#REF!</definedName>
    <definedName name="simple" localSheetId="0">[4]BETA!#REF!</definedName>
    <definedName name="simple">[4]BETA!#REF!</definedName>
    <definedName name="TarifConsElev">'[2]E-Elevatorias'!$D$9</definedName>
    <definedName name="TarifConsOp">'[2]E-ETA-ETE'!$D$33</definedName>
    <definedName name="TarifDemElev">'[2]E-Elevatorias'!$D$8</definedName>
    <definedName name="TarifDemOp">'[2]E-ETA-ETE'!$D$32</definedName>
    <definedName name="TaxaDesconto" localSheetId="3">#REF!</definedName>
    <definedName name="TaxaDesconto" localSheetId="7">#REF!</definedName>
    <definedName name="TaxaDesconto" localSheetId="8">#REF!</definedName>
    <definedName name="TaxaDesconto" localSheetId="9">#REF!</definedName>
    <definedName name="TaxaDesconto" localSheetId="1">#REF!</definedName>
    <definedName name="TaxaDesconto" localSheetId="0">#REF!</definedName>
    <definedName name="TaxaDesconto">#REF!</definedName>
    <definedName name="_xlnm.Print_Titles" localSheetId="3">#REF!</definedName>
    <definedName name="_xlnm.Print_Titles" localSheetId="7">#REF!</definedName>
    <definedName name="_xlnm.Print_Titles" localSheetId="8">#REF!</definedName>
    <definedName name="_xlnm.Print_Titles" localSheetId="1">#REF!</definedName>
    <definedName name="_xlnm.Print_Titles" localSheetId="0">#REF!</definedName>
    <definedName name="_xlnm.Print_Titles">#REF!</definedName>
    <definedName name="TMA">'[2]E-Estrutura'!$D$457</definedName>
    <definedName name="Tx_Desc" localSheetId="3">[3]DRE!#REF!</definedName>
    <definedName name="Tx_Desc" localSheetId="7">[3]DRE!#REF!</definedName>
    <definedName name="Tx_Desc" localSheetId="8">[3]DRE!#REF!</definedName>
    <definedName name="Tx_Desc" localSheetId="9">[3]DRE!#REF!</definedName>
    <definedName name="Tx_Desc" localSheetId="1">[3]DRE!#REF!</definedName>
    <definedName name="Tx_Desc" localSheetId="0">[3]DRE!#REF!</definedName>
    <definedName name="Tx_Desc">[3]DRE!#REF!</definedName>
    <definedName name="Veiculos">'[2]P-Veiculos'!$C$13:$W$27</definedName>
    <definedName name="VidaHard">'[2]E-AdmSist'!$E$34</definedName>
    <definedName name="VidaHardPC">'[2]E-AdmSist'!$E$36</definedName>
    <definedName name="VidaSoft">'[2]E-AdmSist'!$E$33</definedName>
    <definedName name="VidaSoftPC">'[2]E-AdmSist'!$E$35</definedName>
    <definedName name="WACC">[2]Controle!$D$9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41" l="1"/>
  <c r="E17" i="125" l="1"/>
  <c r="E107" i="141" l="1"/>
  <c r="C37" i="123" s="1"/>
  <c r="D25" i="119" l="1"/>
  <c r="L68" i="118"/>
  <c r="L69" i="118"/>
  <c r="L67" i="118"/>
  <c r="L66" i="118"/>
  <c r="L65" i="118"/>
  <c r="L64" i="118"/>
  <c r="L63" i="118"/>
  <c r="L62" i="118"/>
  <c r="D91" i="118"/>
  <c r="D69" i="118"/>
  <c r="D68" i="118"/>
  <c r="D67" i="118"/>
  <c r="D66" i="118"/>
  <c r="D63" i="118"/>
  <c r="D62" i="118"/>
  <c r="K63" i="118" l="1"/>
  <c r="K64" i="118"/>
  <c r="K65" i="118"/>
  <c r="K66" i="118"/>
  <c r="K67" i="118"/>
  <c r="K68" i="118"/>
  <c r="K69" i="118"/>
  <c r="K70" i="118"/>
  <c r="K71" i="118"/>
  <c r="K72" i="118"/>
  <c r="K73" i="118"/>
  <c r="K74" i="118"/>
  <c r="K75" i="118"/>
  <c r="K76" i="118"/>
  <c r="K77" i="118"/>
  <c r="K78" i="118"/>
  <c r="K79" i="118"/>
  <c r="K80" i="118"/>
  <c r="K81" i="118"/>
  <c r="K82" i="118"/>
  <c r="K83" i="118"/>
  <c r="K84" i="118"/>
  <c r="K85" i="118"/>
  <c r="K86" i="118"/>
  <c r="K87" i="118"/>
  <c r="K88" i="118"/>
  <c r="K89" i="118"/>
  <c r="K90" i="118"/>
  <c r="K62" i="118"/>
  <c r="K60" i="118"/>
  <c r="K61" i="118"/>
  <c r="D64" i="127"/>
  <c r="D62" i="127"/>
  <c r="D63" i="127"/>
  <c r="D61" i="127"/>
  <c r="F141" i="127"/>
  <c r="D141" i="127"/>
  <c r="G91" i="127"/>
  <c r="G92" i="127"/>
  <c r="G93" i="127"/>
  <c r="G94" i="127"/>
  <c r="G95" i="127"/>
  <c r="G96" i="127"/>
  <c r="G97" i="127"/>
  <c r="G98" i="127"/>
  <c r="G99" i="127"/>
  <c r="G100" i="127"/>
  <c r="G101" i="127"/>
  <c r="G102" i="127"/>
  <c r="G103" i="127"/>
  <c r="E62" i="127" s="1"/>
  <c r="G104" i="127"/>
  <c r="G105" i="127"/>
  <c r="G106" i="127"/>
  <c r="G107" i="127"/>
  <c r="G108" i="127"/>
  <c r="G109" i="127"/>
  <c r="G110" i="127"/>
  <c r="G111" i="127"/>
  <c r="G112" i="127"/>
  <c r="G113" i="127"/>
  <c r="G114" i="127"/>
  <c r="E64" i="127" s="1"/>
  <c r="G115" i="127"/>
  <c r="G116" i="127"/>
  <c r="G117" i="127"/>
  <c r="G118" i="127"/>
  <c r="G119" i="127"/>
  <c r="G120" i="127"/>
  <c r="G121" i="127"/>
  <c r="G122" i="127"/>
  <c r="G123" i="127"/>
  <c r="G124" i="127"/>
  <c r="G125" i="127"/>
  <c r="G126" i="127"/>
  <c r="G127" i="127"/>
  <c r="G128" i="127"/>
  <c r="G129" i="127"/>
  <c r="G130" i="127"/>
  <c r="G131" i="127"/>
  <c r="G132" i="127"/>
  <c r="G133" i="127"/>
  <c r="G134" i="127"/>
  <c r="G135" i="127"/>
  <c r="G136" i="127"/>
  <c r="G137" i="127"/>
  <c r="G138" i="127"/>
  <c r="G139" i="127"/>
  <c r="G140" i="127"/>
  <c r="G90" i="127"/>
  <c r="E63" i="127" l="1"/>
  <c r="E61" i="127"/>
  <c r="G141" i="127"/>
  <c r="D65" i="127"/>
  <c r="E9" i="138" l="1"/>
  <c r="E8" i="138"/>
  <c r="E7" i="138"/>
  <c r="E20" i="144" l="1"/>
  <c r="G27" i="144" s="1"/>
  <c r="H27" i="144" s="1"/>
  <c r="G25" i="144" l="1"/>
  <c r="H25" i="144" s="1"/>
  <c r="G26" i="144"/>
  <c r="H26" i="144" s="1"/>
  <c r="G18" i="134"/>
  <c r="D30" i="141" l="1"/>
  <c r="F29" i="141" l="1"/>
  <c r="F72" i="141" l="1"/>
  <c r="F71" i="141"/>
  <c r="F70" i="141"/>
  <c r="F73" i="141" l="1"/>
  <c r="E80" i="141" s="1"/>
  <c r="E82" i="141" s="1"/>
  <c r="E85" i="141" s="1"/>
  <c r="C39" i="123" s="1"/>
  <c r="H29" i="141"/>
  <c r="F23" i="114"/>
  <c r="E28" i="141" l="1"/>
  <c r="F28" i="141" s="1"/>
  <c r="H28" i="141" s="1"/>
  <c r="E27" i="141"/>
  <c r="F27" i="141" s="1"/>
  <c r="H27" i="141" s="1"/>
  <c r="E26" i="141"/>
  <c r="F26" i="141" s="1"/>
  <c r="H26" i="141" s="1"/>
  <c r="E25" i="141"/>
  <c r="F25" i="141" s="1"/>
  <c r="H25" i="141" s="1"/>
  <c r="E24" i="141"/>
  <c r="F24" i="141" s="1"/>
  <c r="H24" i="141" s="1"/>
  <c r="E23" i="141"/>
  <c r="F23" i="141" s="1"/>
  <c r="H23" i="141" s="1"/>
  <c r="E22" i="141"/>
  <c r="F22" i="141" s="1"/>
  <c r="H22" i="141" s="1"/>
  <c r="E21" i="141"/>
  <c r="F21" i="141" s="1"/>
  <c r="H21" i="141" s="1"/>
  <c r="E20" i="141"/>
  <c r="F20" i="141" s="1"/>
  <c r="H20" i="141" s="1"/>
  <c r="E19" i="141"/>
  <c r="F19" i="141" s="1"/>
  <c r="F30" i="141" l="1"/>
  <c r="H30" i="141" l="1"/>
  <c r="E48" i="141" s="1"/>
  <c r="E49" i="141" s="1"/>
  <c r="E52" i="141" s="1"/>
  <c r="C38" i="123" s="1"/>
  <c r="E55" i="118" l="1"/>
  <c r="E54" i="118"/>
  <c r="E53" i="118"/>
  <c r="E52" i="118"/>
  <c r="E51" i="118"/>
  <c r="E50" i="118"/>
  <c r="E49" i="118"/>
  <c r="E48" i="118"/>
  <c r="E47" i="118"/>
  <c r="E46" i="118"/>
  <c r="E45" i="118"/>
  <c r="E44" i="118"/>
  <c r="E43" i="118"/>
  <c r="E37" i="118"/>
  <c r="E35" i="118"/>
  <c r="J60" i="118" l="1"/>
  <c r="J61" i="118"/>
  <c r="J70" i="118"/>
  <c r="J71" i="118"/>
  <c r="J72" i="118"/>
  <c r="J73" i="118"/>
  <c r="J74" i="118"/>
  <c r="J75" i="118"/>
  <c r="J76" i="118"/>
  <c r="J77" i="118"/>
  <c r="J78" i="118"/>
  <c r="J79" i="118"/>
  <c r="J80" i="118"/>
  <c r="J81" i="118"/>
  <c r="J82" i="118"/>
  <c r="J83" i="118"/>
  <c r="J84" i="118"/>
  <c r="J85" i="118"/>
  <c r="J86" i="118"/>
  <c r="J87" i="118"/>
  <c r="J88" i="118"/>
  <c r="J89" i="118"/>
  <c r="J90" i="118"/>
  <c r="J59" i="118"/>
  <c r="E34" i="118"/>
  <c r="G34" i="118" s="1"/>
  <c r="E69" i="118" s="1"/>
  <c r="E33" i="118"/>
  <c r="G33" i="118" s="1"/>
  <c r="E68" i="118" s="1"/>
  <c r="E32" i="118"/>
  <c r="G32" i="118" s="1"/>
  <c r="E67" i="118" s="1"/>
  <c r="E31" i="118" l="1"/>
  <c r="G31" i="118" s="1"/>
  <c r="E66" i="118" s="1"/>
  <c r="E27" i="118"/>
  <c r="G27" i="118" s="1"/>
  <c r="E62" i="118" s="1"/>
  <c r="E47" i="127"/>
  <c r="E46" i="127"/>
  <c r="E45" i="127"/>
  <c r="E44" i="127"/>
  <c r="E43" i="127"/>
  <c r="E42" i="127"/>
  <c r="E41" i="127"/>
  <c r="E40" i="127"/>
  <c r="E39" i="127"/>
  <c r="E38" i="127"/>
  <c r="E37" i="127"/>
  <c r="E36" i="127"/>
  <c r="E35" i="127"/>
  <c r="E34" i="127"/>
  <c r="E33" i="127"/>
  <c r="E29" i="127"/>
  <c r="E28" i="127"/>
  <c r="E27" i="127"/>
  <c r="E26" i="127"/>
  <c r="E25" i="127"/>
  <c r="E24" i="127"/>
  <c r="E23" i="127"/>
  <c r="E22" i="127"/>
  <c r="E21" i="127"/>
  <c r="E30" i="118" l="1"/>
  <c r="E29" i="118"/>
  <c r="E28" i="118"/>
  <c r="G28" i="118" s="1"/>
  <c r="E63" i="118" s="1"/>
  <c r="E42" i="118"/>
  <c r="E41" i="118"/>
  <c r="E40" i="118"/>
  <c r="E39" i="118"/>
  <c r="E38" i="118"/>
  <c r="E36" i="118"/>
  <c r="D21" i="119" l="1"/>
  <c r="K59" i="118"/>
  <c r="G55" i="118" l="1"/>
  <c r="G36" i="118"/>
  <c r="L71" i="118" s="1"/>
  <c r="G37" i="118"/>
  <c r="L72" i="118" s="1"/>
  <c r="G38" i="118"/>
  <c r="L73" i="118" s="1"/>
  <c r="G39" i="118"/>
  <c r="L74" i="118" s="1"/>
  <c r="G40" i="118"/>
  <c r="L75" i="118" s="1"/>
  <c r="G41" i="118"/>
  <c r="L76" i="118" s="1"/>
  <c r="G42" i="118"/>
  <c r="L77" i="118" s="1"/>
  <c r="G43" i="118"/>
  <c r="G44" i="118"/>
  <c r="G45" i="118"/>
  <c r="G46" i="118"/>
  <c r="G47" i="118"/>
  <c r="G48" i="118"/>
  <c r="G49" i="118"/>
  <c r="G50" i="118"/>
  <c r="G51" i="118"/>
  <c r="G52" i="118"/>
  <c r="G53" i="118"/>
  <c r="G54" i="118"/>
  <c r="G35" i="118"/>
  <c r="L70" i="118" s="1"/>
  <c r="G23" i="118"/>
  <c r="L60" i="118" s="1"/>
  <c r="G22" i="118"/>
  <c r="L59" i="118" l="1"/>
  <c r="E59" i="118"/>
  <c r="D34" i="127"/>
  <c r="F47" i="127"/>
  <c r="G47" i="127" s="1"/>
  <c r="F46" i="127"/>
  <c r="G46" i="127" s="1"/>
  <c r="F45" i="127"/>
  <c r="G45" i="127" s="1"/>
  <c r="F44" i="127"/>
  <c r="G44" i="127" s="1"/>
  <c r="F43" i="127"/>
  <c r="G43" i="127" s="1"/>
  <c r="F42" i="127"/>
  <c r="G42" i="127" s="1"/>
  <c r="F41" i="127"/>
  <c r="G41" i="127" s="1"/>
  <c r="F40" i="127"/>
  <c r="G40" i="127" s="1"/>
  <c r="F39" i="127"/>
  <c r="G39" i="127" s="1"/>
  <c r="F38" i="127"/>
  <c r="G38" i="127" s="1"/>
  <c r="F37" i="127"/>
  <c r="G37" i="127" s="1"/>
  <c r="F36" i="127"/>
  <c r="G36" i="127" s="1"/>
  <c r="F35" i="127"/>
  <c r="G35" i="127" s="1"/>
  <c r="F33" i="127"/>
  <c r="G33" i="127" s="1"/>
  <c r="F28" i="127"/>
  <c r="G28" i="127" s="1"/>
  <c r="F27" i="127"/>
  <c r="G27" i="127" s="1"/>
  <c r="F24" i="127"/>
  <c r="G24" i="127" s="1"/>
  <c r="F22" i="127"/>
  <c r="G22" i="127" s="1"/>
  <c r="F23" i="127"/>
  <c r="G23" i="127" s="1"/>
  <c r="F25" i="127"/>
  <c r="G25" i="127" s="1"/>
  <c r="F26" i="127"/>
  <c r="G26" i="127" s="1"/>
  <c r="F29" i="127"/>
  <c r="G29" i="127" s="1"/>
  <c r="F34" i="127" l="1"/>
  <c r="G34" i="127" s="1"/>
  <c r="D31" i="127" s="1"/>
  <c r="F21" i="127"/>
  <c r="G21" i="127" s="1"/>
  <c r="D19" i="127" s="1"/>
  <c r="F62" i="127" l="1"/>
  <c r="F64" i="127"/>
  <c r="F61" i="127"/>
  <c r="F63" i="127"/>
  <c r="F33" i="136"/>
  <c r="F49" i="136" s="1"/>
  <c r="E20" i="136"/>
  <c r="E74" i="127" l="1"/>
  <c r="G74" i="127" s="1"/>
  <c r="I74" i="127" s="1"/>
  <c r="F65" i="127"/>
  <c r="E72" i="127"/>
  <c r="E75" i="127"/>
  <c r="G75" i="127" s="1"/>
  <c r="I75" i="127" s="1"/>
  <c r="E73" i="127"/>
  <c r="G73" i="127" s="1"/>
  <c r="I73" i="127" s="1"/>
  <c r="E76" i="127" l="1"/>
  <c r="G72" i="127"/>
  <c r="G76" i="127" l="1"/>
  <c r="F29" i="114" s="1"/>
  <c r="I72" i="127"/>
  <c r="I76" i="127" s="1"/>
  <c r="E38" i="125" s="1"/>
  <c r="F39" i="136"/>
  <c r="F50" i="136" s="1"/>
  <c r="E39" i="136"/>
  <c r="F48" i="136" l="1"/>
  <c r="F19" i="136" l="1"/>
  <c r="F18" i="136"/>
  <c r="C20" i="135"/>
  <c r="F20" i="134"/>
  <c r="G20" i="134" s="1"/>
  <c r="F19" i="134"/>
  <c r="H18" i="134"/>
  <c r="I18" i="134" s="1"/>
  <c r="E21" i="134"/>
  <c r="G56" i="118"/>
  <c r="F51" i="136" l="1"/>
  <c r="F36" i="134"/>
  <c r="F20" i="136"/>
  <c r="F47" i="136" s="1"/>
  <c r="H19" i="134"/>
  <c r="I19" i="134" s="1"/>
  <c r="G19" i="134"/>
  <c r="G21" i="134" s="1"/>
  <c r="F21" i="134"/>
  <c r="H20" i="134"/>
  <c r="I20" i="134" s="1"/>
  <c r="F53" i="136" l="1"/>
  <c r="E5" i="138" s="1"/>
  <c r="I21" i="134"/>
  <c r="H21" i="134"/>
  <c r="F35" i="134" l="1"/>
  <c r="F38" i="134" s="1"/>
  <c r="E10" i="138" s="1"/>
  <c r="H88" i="118" l="1"/>
  <c r="H87" i="118"/>
  <c r="H86" i="118"/>
  <c r="H90" i="118"/>
  <c r="H89" i="118"/>
  <c r="H85" i="118"/>
  <c r="H83" i="118"/>
  <c r="H82" i="118"/>
  <c r="H81" i="118"/>
  <c r="H73" i="118" l="1"/>
  <c r="H72" i="118"/>
  <c r="E71" i="118"/>
  <c r="E72" i="118"/>
  <c r="D74" i="118"/>
  <c r="E75" i="118"/>
  <c r="E76" i="118"/>
  <c r="E77" i="118"/>
  <c r="E78" i="118"/>
  <c r="L78" i="118"/>
  <c r="E79" i="118"/>
  <c r="L79" i="118"/>
  <c r="E80" i="118"/>
  <c r="L80" i="118"/>
  <c r="D81" i="118"/>
  <c r="L81" i="118"/>
  <c r="D82" i="118"/>
  <c r="L82" i="118"/>
  <c r="E83" i="118"/>
  <c r="L83" i="118"/>
  <c r="E84" i="118"/>
  <c r="L84" i="118"/>
  <c r="E85" i="118"/>
  <c r="L85" i="118"/>
  <c r="E86" i="118"/>
  <c r="L86" i="118"/>
  <c r="L87" i="118"/>
  <c r="E88" i="118"/>
  <c r="L88" i="118"/>
  <c r="E89" i="118"/>
  <c r="L89" i="118"/>
  <c r="L90" i="118"/>
  <c r="H84" i="118"/>
  <c r="H80" i="118"/>
  <c r="H79" i="118"/>
  <c r="H78" i="118"/>
  <c r="H77" i="118"/>
  <c r="H76" i="118"/>
  <c r="H75" i="118"/>
  <c r="H74" i="118"/>
  <c r="H71" i="118"/>
  <c r="H70" i="118"/>
  <c r="E73" i="118"/>
  <c r="D73" i="118"/>
  <c r="E81" i="118" l="1"/>
  <c r="E70" i="118"/>
  <c r="D88" i="118"/>
  <c r="D80" i="118"/>
  <c r="D72" i="118"/>
  <c r="E90" i="118"/>
  <c r="E87" i="118"/>
  <c r="D86" i="118"/>
  <c r="D89" i="118"/>
  <c r="D84" i="118"/>
  <c r="E82" i="118"/>
  <c r="D78" i="118"/>
  <c r="D76" i="118"/>
  <c r="E74" i="118"/>
  <c r="D70" i="118"/>
  <c r="D77" i="118"/>
  <c r="D85" i="118"/>
  <c r="D71" i="118"/>
  <c r="D75" i="118"/>
  <c r="D79" i="118"/>
  <c r="D83" i="118"/>
  <c r="D87" i="118"/>
  <c r="D90" i="118"/>
  <c r="D29" i="118" l="1"/>
  <c r="H91" i="118"/>
  <c r="G29" i="118" l="1"/>
  <c r="E64" i="118" s="1"/>
  <c r="D64" i="118"/>
  <c r="E91" i="118"/>
  <c r="D19" i="14"/>
  <c r="D30" i="118"/>
  <c r="G30" i="118" l="1"/>
  <c r="E65" i="118" s="1"/>
  <c r="D65" i="118"/>
  <c r="H60" i="118" l="1"/>
  <c r="H61" i="118"/>
  <c r="D141" i="118" l="1"/>
  <c r="D135" i="118"/>
  <c r="D123" i="118"/>
  <c r="D120" i="118"/>
  <c r="E32" i="125"/>
  <c r="D140" i="118" l="1"/>
  <c r="D26" i="118" s="1"/>
  <c r="G26" i="118" s="1"/>
  <c r="D125" i="118"/>
  <c r="D25" i="118" s="1"/>
  <c r="G25" i="118" s="1"/>
  <c r="D24" i="118" l="1"/>
  <c r="G24" i="118"/>
  <c r="L61" i="118" l="1"/>
  <c r="D32" i="119" s="1"/>
  <c r="D22" i="128"/>
  <c r="E22" i="128" s="1"/>
  <c r="F22" i="128" s="1"/>
  <c r="G62" i="127" l="1"/>
  <c r="G64" i="127"/>
  <c r="F73" i="127" l="1"/>
  <c r="H73" i="127" s="1"/>
  <c r="J73" i="127" s="1"/>
  <c r="F75" i="127"/>
  <c r="H75" i="127" s="1"/>
  <c r="J75" i="127" s="1"/>
  <c r="G63" i="127"/>
  <c r="G61" i="127"/>
  <c r="D24" i="128"/>
  <c r="E24" i="128" s="1"/>
  <c r="F24" i="128" s="1"/>
  <c r="D23" i="128"/>
  <c r="E23" i="128" s="1"/>
  <c r="F23" i="128" s="1"/>
  <c r="D21" i="128"/>
  <c r="E21" i="128" s="1"/>
  <c r="F21" i="128" s="1"/>
  <c r="D20" i="128"/>
  <c r="C94" i="128"/>
  <c r="G65" i="127" l="1"/>
  <c r="F72" i="127"/>
  <c r="F74" i="127"/>
  <c r="H74" i="127" s="1"/>
  <c r="J74" i="127" s="1"/>
  <c r="E65" i="127"/>
  <c r="F25" i="128"/>
  <c r="E25" i="128"/>
  <c r="D25" i="128"/>
  <c r="H72" i="127" l="1"/>
  <c r="F76" i="127"/>
  <c r="G22" i="128"/>
  <c r="F37" i="125" s="1"/>
  <c r="H76" i="127" l="1"/>
  <c r="F28" i="114" s="1"/>
  <c r="J72" i="127"/>
  <c r="J76" i="127" s="1"/>
  <c r="E39" i="125" s="1"/>
  <c r="F39" i="125" s="1"/>
  <c r="F34" i="125"/>
  <c r="F28" i="125"/>
  <c r="F35" i="125"/>
  <c r="F29" i="125"/>
  <c r="F30" i="125"/>
  <c r="F36" i="125"/>
  <c r="F31" i="125"/>
  <c r="F26" i="125"/>
  <c r="F32" i="125"/>
  <c r="F27" i="125"/>
  <c r="F33" i="125"/>
  <c r="F25" i="125"/>
  <c r="D37" i="119" l="1"/>
  <c r="C30" i="123" s="1"/>
  <c r="F31" i="114" l="1"/>
  <c r="E24" i="125"/>
  <c r="C25" i="123" l="1"/>
  <c r="H59" i="118"/>
  <c r="D59" i="118" l="1"/>
  <c r="D61" i="118" l="1"/>
  <c r="E61" i="118"/>
  <c r="E60" i="118"/>
  <c r="D60" i="118"/>
  <c r="D58" i="118" l="1"/>
  <c r="E58" i="118"/>
  <c r="D26" i="119" s="1"/>
  <c r="D21" i="118" l="1"/>
  <c r="D93" i="118" s="1"/>
  <c r="G21" i="118"/>
  <c r="E93" i="118" l="1"/>
  <c r="D27" i="119" s="1"/>
  <c r="D20" i="119" s="1"/>
  <c r="D19" i="119" s="1"/>
  <c r="D28" i="119" s="1"/>
  <c r="D36" i="119" s="1"/>
  <c r="C29" i="123" l="1"/>
  <c r="C28" i="123" s="1"/>
  <c r="D39" i="119"/>
  <c r="F38" i="125" l="1"/>
  <c r="F24" i="125" s="1"/>
  <c r="C26" i="123" s="1"/>
  <c r="C24" i="123" s="1"/>
  <c r="C32" i="123" s="1"/>
  <c r="C41" i="123" s="1"/>
  <c r="C45" i="123" s="1"/>
  <c r="E6" i="138" s="1"/>
</calcChain>
</file>

<file path=xl/sharedStrings.xml><?xml version="1.0" encoding="utf-8"?>
<sst xmlns="http://schemas.openxmlformats.org/spreadsheetml/2006/main" count="1104" uniqueCount="595">
  <si>
    <t>TABELA DE PREÇOS PÚBLICOS</t>
  </si>
  <si>
    <t xml:space="preserve">Serviço </t>
  </si>
  <si>
    <t>Unidade de medida</t>
  </si>
  <si>
    <t>Valor unitário</t>
  </si>
  <si>
    <t>Tonelada</t>
  </si>
  <si>
    <t>Disposição final de resíduos da construção civil segregados</t>
  </si>
  <si>
    <t>Disposição final de resíduos da construção civil não segregados</t>
  </si>
  <si>
    <t>Disposição final de resíduos de podas e galhadas</t>
  </si>
  <si>
    <t>Equipe/h</t>
  </si>
  <si>
    <t xml:space="preserve">DISPOSIÇÃO FINAL DE RCC SEGREGADO, NÃO SEGREGADO E PODAS E GALHADAS </t>
  </si>
  <si>
    <t>Em 2019 foi realizada a revisão extraordinária dos preços públicos de disposição final de resíduos da construção civil segregados, não segregados e de podas e galhadas, sendo este ano realizado somente o reajuste. Para o reajuste foi aplicada a variação do IPCA, de setembro de 2019 a agosto de 2020, correspondente à 2,48% (índice de correção multiplicador de 1,024794).</t>
  </si>
  <si>
    <t>IPCA - Set/2019 a Ago/2020</t>
  </si>
  <si>
    <t>2019.09</t>
  </si>
  <si>
    <t>2020.03</t>
  </si>
  <si>
    <t>2019.10</t>
  </si>
  <si>
    <t>2020.04</t>
  </si>
  <si>
    <t>2019.11</t>
  </si>
  <si>
    <t>2020.05</t>
  </si>
  <si>
    <t>2019.12</t>
  </si>
  <si>
    <t>2020.06</t>
  </si>
  <si>
    <t>2020.01</t>
  </si>
  <si>
    <t>2020.07</t>
  </si>
  <si>
    <t>2020.02</t>
  </si>
  <si>
    <t>2020.08</t>
  </si>
  <si>
    <t>Variação de 12 meses</t>
  </si>
  <si>
    <t>Fonte: http://www.ipeadata.gov.br</t>
  </si>
  <si>
    <t>Preço 2019</t>
  </si>
  <si>
    <t>Índice de Correção</t>
  </si>
  <si>
    <t>Valor atualizado</t>
  </si>
  <si>
    <t xml:space="preserve">Índice de correção - </t>
  </si>
  <si>
    <t xml:space="preserve"> </t>
  </si>
  <si>
    <t xml:space="preserve">Valor atualizado - </t>
  </si>
  <si>
    <t>Limpeza pós-evento</t>
  </si>
  <si>
    <t>Para determinação do custo operacional, foram utilizados os valores contratados pelo SLU, referentes aos serviços de limpeza pós-eventos e coleta de resíduos de caixa de gordura, que correspondem à planilha P11 dos referidos contratos. Como somente o contrato referente ao Lote 1 teve seus valores repactuados, os valores dos demais lotes foram atualizados, considerando-se a mesma variação (3,4%).
A planilha P11 contempla os valores referentes à mão-de-obra, materiais, custos fixos e demais custos relacionados à coleta de resíduos sólidos, para uma equipe de 26 pessoas. A Resolução Adasa n° 14/2016 estabelece que a equipe responsável por esse serviço é composta de 16 pessoas, sendo 15 garis e 1 fiscal. Assim, foi calculada a média do valor proporcional do montante previsto nos contratos, considerando-se os três lotes, e apurado o valor por hora, utilizando 220 horas no mês.</t>
  </si>
  <si>
    <t>Custo Operacional</t>
  </si>
  <si>
    <t>P11</t>
  </si>
  <si>
    <t>Empresa</t>
  </si>
  <si>
    <t>R$/mês SLU  contrato</t>
  </si>
  <si>
    <t xml:space="preserve">R$/mês SLU   atual </t>
  </si>
  <si>
    <t xml:space="preserve">R$/mês por pessoa </t>
  </si>
  <si>
    <t>R$/mês Adasa</t>
  </si>
  <si>
    <t>R$/hora</t>
  </si>
  <si>
    <t>Lote 1</t>
  </si>
  <si>
    <t>Valor Ambiental</t>
  </si>
  <si>
    <t>Lote 2</t>
  </si>
  <si>
    <t>Sustentare</t>
  </si>
  <si>
    <t>Lote 3</t>
  </si>
  <si>
    <t>Consita</t>
  </si>
  <si>
    <t>Média</t>
  </si>
  <si>
    <t>Fonte: Documento SEI 48168681, 48168823 e 48168998</t>
  </si>
  <si>
    <t>R$/mês SLU contrato - Valor contratado pelo SLU</t>
  </si>
  <si>
    <t>R$/mês SLU atual - Valor contratado pelo SLU atualizado</t>
  </si>
  <si>
    <t xml:space="preserve">R$/mês por pessoa - </t>
  </si>
  <si>
    <t xml:space="preserve">R$/mês Adasa - </t>
  </si>
  <si>
    <t xml:space="preserve">R$/hora- </t>
  </si>
  <si>
    <t>Cálculo do preço público para Limpeza de vias e logradouros públicos pós-evento</t>
  </si>
  <si>
    <t>Custo operacional (R$/t)</t>
  </si>
  <si>
    <t>Bonificação por Despesas Indiretas - BDI</t>
  </si>
  <si>
    <t xml:space="preserve">Valor da equipe por hora </t>
  </si>
  <si>
    <t xml:space="preserve">Valor da equipe por hora - </t>
  </si>
  <si>
    <t xml:space="preserve">BONIFICACÃO E DESPESAS INDIRETAS </t>
  </si>
  <si>
    <t>Para incluir as despesas indiretas nos preços públicos, foi considerada uma parcela de Bonificação por Despesas Indiretas – BDI, correspondente a 10,29%. Esse percentual é composto por: administração central, a gestão e fiscalização dos contratos, riscos e custos financeiros. Este percentual foi definido conforme orientação do Acórdão 2.622/2013 – TCU Plenário.</t>
  </si>
  <si>
    <t xml:space="preserve">COMPOSIÇÃO DA TAXA DE BONIFICACÃO E DESPESAS INDIRETAS </t>
  </si>
  <si>
    <t>Despesas indiretas</t>
  </si>
  <si>
    <t xml:space="preserve">Administração central </t>
  </si>
  <si>
    <t>Gestão e Fiscalização dos contratos</t>
  </si>
  <si>
    <t>Riscos</t>
  </si>
  <si>
    <t>Custos Financeiros</t>
  </si>
  <si>
    <t>B.D.I. (Bonificação e despesas indiretas )</t>
  </si>
  <si>
    <t>Coleta de resíduos sólidos orgânicos e indiferenciados</t>
  </si>
  <si>
    <t>Para determinação dos custos operacionais foram considerados o desembolso do SLU definido em contrato, referente aos serviços: P1 – Coleta e transporte de resíduos sólidos domiciliares em áreas comuns e de difícil acesso e P12 – Unidade de transbordo de rejeitos e/ou resíduos.Somente o Lote 1 apresentou repactuação do valor, os demais lotes foram atualizados considerando a variação do mesmo (2%).  
O serviço da P1 contempla o custo com mão-de-obra, materiais, custos fixos e demais custos relacionados com a coleta de resíduos sólidos. Quanto ao serviço da P12 é referente ao preço por tonelada por quilometro para transportar os resíduos até o local da disposição final. Foi considerado como custo a média entre os três lotes contratados pelo SLU, e para determinar o preço por tonelada por quilômetro do transbordo considerou-se a média da distância entre as usinas e unidades de transbordo e o aterro sanitário de Brasília.</t>
  </si>
  <si>
    <t>P1</t>
  </si>
  <si>
    <t>R$/t SLU  contrato</t>
  </si>
  <si>
    <t>R$/t SLU   atual</t>
  </si>
  <si>
    <t>Distância das Unidades até a Disposição Final                 (em km)</t>
  </si>
  <si>
    <t>Unidade</t>
  </si>
  <si>
    <t>Aterro de Brasilia</t>
  </si>
  <si>
    <t>Usina/Transbordo da Asa Sul</t>
  </si>
  <si>
    <t>Transbordo de Brazlândia</t>
  </si>
  <si>
    <t>Usina/Transbordo da PSUL</t>
  </si>
  <si>
    <t>Transbordo Gama</t>
  </si>
  <si>
    <t>Transbordo Sobradinho</t>
  </si>
  <si>
    <t>P12</t>
  </si>
  <si>
    <t>R$/km/t SLU  contrato</t>
  </si>
  <si>
    <t>R$/km/t SLU   atual</t>
  </si>
  <si>
    <t>Cálculo do preço público para Coleta de resíduos sólidos orgânicos e indiferenciados</t>
  </si>
  <si>
    <t>Custo de coleta (R$/t)</t>
  </si>
  <si>
    <t>Custo de Transbordo (R$/Km/t)</t>
  </si>
  <si>
    <t>Média da distância das unidades até o ASB (km)</t>
  </si>
  <si>
    <t>Preço por tonelada por quilômetro (R$/km/t)</t>
  </si>
  <si>
    <t>Valor por tonelada</t>
  </si>
  <si>
    <t xml:space="preserve">Custo de transbordo - </t>
  </si>
  <si>
    <t xml:space="preserve">Valor por tonelada - </t>
  </si>
  <si>
    <t xml:space="preserve">DISPOSIÇÃO FINAL NO ATERRO BRASÍLIA </t>
  </si>
  <si>
    <t>A prestação dos serviços incorre em custos e despesas operacionais, com alocação direta e indireta, e em custos de capital. Os custos e despesas operacionais diretamente relacionados à prestação do serviço são alocados, na sua totalidade, na composição do preço do respectivo serviço, já os custos e despesas operacionais indiretas são alocados proporcionalmente ao preço do serviço, por meio do processo de rateio. Para a definição do preço público para disposição final no Aterro de Brasília, além do OPEX e CAPEX, foram acrescidos diretamente no preço o custo com operação e manutenção do aterro, o custo com o terreno, a provisão para manutenção do aterro após o fechamento, a provisão do tratamento do chorume após o fechamento do aterro e o Imposto Sobre Serviço – ISS.</t>
  </si>
  <si>
    <t>Cálculo do preço público para disposição final no Aterro Brasília</t>
  </si>
  <si>
    <t>Preço Público para Disposição Final</t>
  </si>
  <si>
    <t>Custos do Aterro Sanitário de Brasília</t>
  </si>
  <si>
    <t>. Custos Operacionais - OPEX anual</t>
  </si>
  <si>
    <t xml:space="preserve">. Custos Operacionais Diretos </t>
  </si>
  <si>
    <t>. Custos Operacionais Indiretos</t>
  </si>
  <si>
    <t>. Remuneração Adequada - RA anual</t>
  </si>
  <si>
    <t xml:space="preserve">. Remuneração dos Investimentos </t>
  </si>
  <si>
    <t>. Quota de Reintegração do Capital</t>
  </si>
  <si>
    <t>Total de Custos anual</t>
  </si>
  <si>
    <t>Peso líquido - ASB de 01/09/2019 a 31/08/2020      (t)</t>
  </si>
  <si>
    <t>Custo Operação e manutenção do aterro (R$/t) - OM aterro</t>
  </si>
  <si>
    <t>Custo Terreno (R$/t)</t>
  </si>
  <si>
    <t>Provisão para manutenção após fechamento (R$/t) - OM fechamento</t>
  </si>
  <si>
    <t>Provisão do tratamento do chorume (R$/t) - CHORUME fechamento</t>
  </si>
  <si>
    <t>Valor da tonelada aterrada (R$/t)</t>
  </si>
  <si>
    <t>ISS</t>
  </si>
  <si>
    <t>Valor da tonelada aterrada (R$/t) c/ ISS</t>
  </si>
  <si>
    <t xml:space="preserve">CUSTO OPERACIONAL DIRETO </t>
  </si>
  <si>
    <t>São os custos e despesas utilizados diretamente no Aterro Sanitário de Brasília. Para definir a despesa relativo às estações de trabalho foram considerados os equipamentos necessários (mesa, computador, monitor, estabilizador, etc) para a realização das atividades administrativas, considerando o preço médio de aquisição destes equipamentos, segundo o Termo de Guarda e Responsabilidade, utilizado na revisão extraordinária do serviço de Disposição Final do RCC em 2019, sendo os seus valores atualizados pelo IPCA até agosto de 2020. A partir deste preço foi apurado o valor equivalente a um aluguel anual pela utilização dos equipamentos, definido conforme informações constantes na Instrução Normativa 1.700/2017 da Secretaria da Receita Federal do Brasil.</t>
  </si>
  <si>
    <t xml:space="preserve">COMPOSIÇÃO DOS CUSTOS E DESPESAS OPERACIONAIS - ALOCAÇÃO DIRETA </t>
  </si>
  <si>
    <t>Seq.</t>
  </si>
  <si>
    <t xml:space="preserve">Descrição </t>
  </si>
  <si>
    <t>Valor Total Anual</t>
  </si>
  <si>
    <t>Pessoal próprio</t>
  </si>
  <si>
    <t>Material de Consumo</t>
  </si>
  <si>
    <t>Vigilância e segurança</t>
  </si>
  <si>
    <t>Água e Esgoto</t>
  </si>
  <si>
    <t>Energia Elétrica</t>
  </si>
  <si>
    <t xml:space="preserve">Veículos </t>
  </si>
  <si>
    <t>Combustíves e Lubrificantes</t>
  </si>
  <si>
    <t>Estação de trabalho padrão</t>
  </si>
  <si>
    <t xml:space="preserve">Estação de trabalho diretor </t>
  </si>
  <si>
    <t>Tratamento do chorume</t>
  </si>
  <si>
    <t>Custo Operacional Total - alocação direta</t>
  </si>
  <si>
    <t>Fonte: Documento SEI 46504785, 44201732, 44761433, 44423251, 45662044 e 47469782</t>
  </si>
  <si>
    <t xml:space="preserve">CUSTO OPERACIONAL INDIRETO </t>
  </si>
  <si>
    <t>São os custos e despesas utilizados indiretamente no Aterro Sanitário de Brasília. Para definir a despesa relativo às estações de trabalho foram considerados os equipamentos necessários (mesa, computador, monitor, estabilizador, etc) para a realização das atividades administrativas, considerando o preço médio de aquisição destes equipamentos, segundo o Termo de Guarda e Responsabilidade, utilizado na revisão extraordinária do serviço de Disposição Final do RCC em 2019, sendo os seus valores atualizados pelo IPCA até agosto de 2020. A partir deste preço foi apurado o valor equivalente a um aluguel anual pela utilização dos equipamentos, definido conforme informações constantes na Instrução Normativa 1.700/2017 da Secretaria da Receita Federal do Brasil. as despesas e custos indiretos foram alocados ao serviço de disposição final no ASB na mesma proporção em que os recursos humanos da sede do SLU estão alocados diretamente com este serviço, em relação à força de trabalho total.</t>
  </si>
  <si>
    <t>Critério de Rateio - % Pessoal alocado no serviço de Disposição Final do Aterro</t>
  </si>
  <si>
    <t>COMPOSIÇÃO DOS CUSTOS E DESPESAS INDIRETAS - DISPOSIÇÃO FINAL</t>
  </si>
  <si>
    <t>Valor Total (R$)</t>
  </si>
  <si>
    <t>Valor Aterro(R$)</t>
  </si>
  <si>
    <t>1.1</t>
  </si>
  <si>
    <t>1.2</t>
  </si>
  <si>
    <t>Limpeza</t>
  </si>
  <si>
    <t>1.3</t>
  </si>
  <si>
    <t>Aluguel de veículos</t>
  </si>
  <si>
    <t>1.4</t>
  </si>
  <si>
    <t>Serviços gerais</t>
  </si>
  <si>
    <t>1.5</t>
  </si>
  <si>
    <t>Material de consumo</t>
  </si>
  <si>
    <t>1.6</t>
  </si>
  <si>
    <t>Contrato de combustíveis</t>
  </si>
  <si>
    <t>1.7</t>
  </si>
  <si>
    <t>Energia elétrica</t>
  </si>
  <si>
    <t>1.8</t>
  </si>
  <si>
    <t>Telefonia fixa</t>
  </si>
  <si>
    <t>1.9</t>
  </si>
  <si>
    <t>Aluguel</t>
  </si>
  <si>
    <t>1.10</t>
  </si>
  <si>
    <t>Condomínio</t>
  </si>
  <si>
    <t>1.11</t>
  </si>
  <si>
    <t xml:space="preserve">Manutenção </t>
  </si>
  <si>
    <t>1.12</t>
  </si>
  <si>
    <t>Serviços de TI</t>
  </si>
  <si>
    <t>1.13</t>
  </si>
  <si>
    <t>Impressoras</t>
  </si>
  <si>
    <t>1.14</t>
  </si>
  <si>
    <t xml:space="preserve">Estação de Trabalho - Diretor </t>
  </si>
  <si>
    <t>1.15</t>
  </si>
  <si>
    <t>Estação de Trabalho - Padrão</t>
  </si>
  <si>
    <t>Fonte: Documento SEI 46504785, 45662044, 46610572, 44761433 e 45768308</t>
  </si>
  <si>
    <t xml:space="preserve">Valor Aterro (R$) - </t>
  </si>
  <si>
    <t xml:space="preserve">RATEIO DO CUSTO OPERACIONAL INDIRETO </t>
  </si>
  <si>
    <t>Entretanto, para a alocação das despesas e dos custos indiretos, cujos valores estão relacionados a diversas atividades desempenhadas pelo SLU, é necessário realizar a apuração de seus montantes e estabelecer um critério de rateio para o direcionamento destas despesas e custos às atividades a serem custeadas.
Para o rateio dos custos e despesas indiretos (da Sede) foi adotada a seguinte metodologia: as despesas e custos indiretos foram alocados ao serviço de disposição final no ASB na mesma proporção em que os recursos humanos da sede do SLU estão alocados diretamente com este serviço, em relação à força de trabalho total.O rateio foi feito considerando o relacionamento da força de trabalho com os seguintes grupos de serviços: Coleta e Transporte, Serviços de Asseio, Tratamento, Disposição Final. A Disposição Final inclui as operações do Aterro Sanitário de Brasília - ASB e da Unidade de Recebimento de Entulhos – URE, assim dividimos por 2 para determinação do pessoal do Aterro</t>
  </si>
  <si>
    <t>Atividades</t>
  </si>
  <si>
    <t>Qtd. Atividade</t>
  </si>
  <si>
    <t>Pessoal Total</t>
  </si>
  <si>
    <t>Pessoal Disposição Final</t>
  </si>
  <si>
    <t>ATERRO</t>
  </si>
  <si>
    <t>% ASB</t>
  </si>
  <si>
    <t>Não tem relação com a Disposição Final</t>
  </si>
  <si>
    <t>-</t>
  </si>
  <si>
    <t>Todas as atividades</t>
  </si>
  <si>
    <t>Somente Disposição Final</t>
  </si>
  <si>
    <t>Disposição Final, Coleta e Transporte e Tratamento</t>
  </si>
  <si>
    <t xml:space="preserve">Disposição Final e Coleta e Transporte </t>
  </si>
  <si>
    <t>Total</t>
  </si>
  <si>
    <t>Fonte: Documento SEI 46504785</t>
  </si>
  <si>
    <t>Qtd. Atividade - quantidade de atividade de cada grupo, quando há relação com a atividade de disposição final</t>
  </si>
  <si>
    <t>Pessoal Total - quantidade total de pessoas</t>
  </si>
  <si>
    <t xml:space="preserve">Pessoal Disposição Final - </t>
  </si>
  <si>
    <t xml:space="preserve">Pessoal Aterro - </t>
  </si>
  <si>
    <t xml:space="preserve">% ASB - </t>
  </si>
  <si>
    <t>ALOCAÇÃO DO PESSOAL PRÓPRIO (EFETIVO
E COMISSIONADO)</t>
  </si>
  <si>
    <t>Quantidade</t>
  </si>
  <si>
    <r>
      <rPr>
        <b/>
        <sz val="10"/>
        <color rgb="FFFFFFFF"/>
        <rFont val="Arial"/>
        <family val="2"/>
      </rPr>
      <t>Quais atividades
atendem</t>
    </r>
  </si>
  <si>
    <t xml:space="preserve"> Presidência e Secretaria Executiva</t>
  </si>
  <si>
    <t>Coleta e Transporte</t>
  </si>
  <si>
    <t>Serviços de Asseio</t>
  </si>
  <si>
    <t>Tratamento</t>
  </si>
  <si>
    <t>Disposição Final</t>
  </si>
  <si>
    <t>Diretoria-Adjunta</t>
  </si>
  <si>
    <t>Assessoria do Conselho de Limpeza Urbana</t>
  </si>
  <si>
    <t>Diretoria de Gestão e Modernização Tecnológica</t>
  </si>
  <si>
    <t xml:space="preserve">Gerência de Desenvolvimento </t>
  </si>
  <si>
    <t>Núcleo de Sistemas</t>
  </si>
  <si>
    <t>Núcleo de Banco de Dados</t>
  </si>
  <si>
    <t>Núcleo de Projetos</t>
  </si>
  <si>
    <t>Gerência de Infraestrutura e Segurança</t>
  </si>
  <si>
    <t>Núcleo de Rede e Telefonia</t>
  </si>
  <si>
    <t>Gerência de Suporte e Operações</t>
  </si>
  <si>
    <t>Núcleo de Suporte</t>
  </si>
  <si>
    <t>Diretoria Técnica</t>
  </si>
  <si>
    <t>Gerência de Projetos</t>
  </si>
  <si>
    <t>Núcleo de Elaboração de Projetos Especiais</t>
  </si>
  <si>
    <t>Núcleo de Análise e Avaliação</t>
  </si>
  <si>
    <t>Gerência de Normas, Procedimentos e Manuais</t>
  </si>
  <si>
    <t>Núcleo de Normatização</t>
  </si>
  <si>
    <t>Núcleo de Procedimentos Manuais</t>
  </si>
  <si>
    <t>Diretoria de Limpeza Urbana</t>
  </si>
  <si>
    <t>Gerência de Controle e Medição</t>
  </si>
  <si>
    <t>Núcleo de Controle</t>
  </si>
  <si>
    <t>Núcleo de Medição</t>
  </si>
  <si>
    <t>Gerência de Aterros</t>
  </si>
  <si>
    <t>Núcleo do Aterro Sanitário</t>
  </si>
  <si>
    <t>Núcleo de Recebimento de Entulhos</t>
  </si>
  <si>
    <t>Gerência de Tratamento</t>
  </si>
  <si>
    <t>Núcleo de Compostagem</t>
  </si>
  <si>
    <t>Núcleo de Recuperação de Recicláveis Secos</t>
  </si>
  <si>
    <t>Núcleo de Recuperação de Resíduos da Construção Civil</t>
  </si>
  <si>
    <t>Diretoria de Administração e Finanças</t>
  </si>
  <si>
    <t>Gerência de Serviços Gerais</t>
  </si>
  <si>
    <t>Núcleo de Manutenção de Próprios</t>
  </si>
  <si>
    <t>Núcleo de Patrimônio</t>
  </si>
  <si>
    <t>Núcleo de Almoxarifado</t>
  </si>
  <si>
    <t>Núcleo de Documentação e Comunicação</t>
  </si>
  <si>
    <t>Gerência de Gestão de Pessoas</t>
  </si>
  <si>
    <t>Núcleo de Direitos e Deveres</t>
  </si>
  <si>
    <t>Núcleo de Cadastro Funcional</t>
  </si>
  <si>
    <t>Núcleo de Administração da Folha de Pagamento</t>
  </si>
  <si>
    <t>Núcleo de Aposentadoria</t>
  </si>
  <si>
    <t>Gerência de Orçamento e Finanças</t>
  </si>
  <si>
    <t>Núcleo de Programação Orçamentária e Financeira</t>
  </si>
  <si>
    <t>Núcleo de Liquidação da Despesa</t>
  </si>
  <si>
    <t>Núcleo de Tesouraria</t>
  </si>
  <si>
    <t>Gerência de Contabilidade</t>
  </si>
  <si>
    <t>Núcleo de Contabilidade</t>
  </si>
  <si>
    <t>Gerência de Licitação e Contrato</t>
  </si>
  <si>
    <t>Núcleo de Licitação</t>
  </si>
  <si>
    <t>Núcleo de Contratos e Convênios</t>
  </si>
  <si>
    <t>Núcleo de Aquisições</t>
  </si>
  <si>
    <t>Assessoria de Comunicação Social e Mobilização</t>
  </si>
  <si>
    <t>Unidade de Auditoria Interna</t>
  </si>
  <si>
    <t>Ouvidoria</t>
  </si>
  <si>
    <t>Procuradoria Jurídica</t>
  </si>
  <si>
    <t>Toda a organização (Geral)</t>
  </si>
  <si>
    <t xml:space="preserve">ESTAÇÃO DE TRABALHO </t>
  </si>
  <si>
    <t>Para definir o gasto relativo às estações de trabalho foram considerados os equipamentos necessários (mesa, computador, monitor, estabilizador, etc) para a realização das atividades administrativas da Sede e o preço médio de aquisição destes equipamentos, segundo o Termo de Guarda e Responsabilidade, utilizado na revisão extraordinária do serviço de Disposição Final do RCC em 2019, sendo os seus valores atualizados pelo IPCA até agosto de 2020. A partir deste preço foi apurado o valor equivalente a um aluguel anual pela utilização dos equipamentos.
O valor do aluguel anual das estações de trabalho foi apurado pela divisão entre o preço médio de aquisição atualizado e a vida útil do bem, estimada conforme informações constantes na Instrução Normativa 1.700/2017 da Secretaria da Receita Federal do Brasil.
As estações de trabalho foram segmentadas em duas categorias: 1. Estação de Trabalho Padrão e 2. Estação de Trabalho de Diretores. Realizou-se tal segmentação pois as salas dos diretores possuem equipamentos diferenciados e adicionais em relação às estações padrão, como armários e sofás.
O quantitativo total de estações de trabalho considerado é igual ao quantitativo de servidores na Sede do SLU. Para alocação das despesas com estação de trabalho no ASB foi estabelecer considerado a quantidade de pessoas na atividade de Disposição Final. A Disposição Final inclui as operações do Aterro Sanitário de Brasília - ASB e da Unidade de Recebimento de Entulhos – URE, assim dividimos por 2 para determinação do pessoal do Aterro</t>
  </si>
  <si>
    <t xml:space="preserve">Documento SEI n° 12798967 </t>
  </si>
  <si>
    <t>IPCA</t>
  </si>
  <si>
    <t>Estação de Trabalho Padrão</t>
  </si>
  <si>
    <t>Índice de Correção (IPCA)</t>
  </si>
  <si>
    <t>Valor anual</t>
  </si>
  <si>
    <t>Vida útil em anos                  (IN 1700/17)</t>
  </si>
  <si>
    <t>2017.12</t>
  </si>
  <si>
    <t>2019.04</t>
  </si>
  <si>
    <t>Item</t>
  </si>
  <si>
    <t xml:space="preserve">Valor </t>
  </si>
  <si>
    <t>2018.01</t>
  </si>
  <si>
    <t>2019.05</t>
  </si>
  <si>
    <t>Monitor</t>
  </si>
  <si>
    <t>2018.02</t>
  </si>
  <si>
    <t>2019.06</t>
  </si>
  <si>
    <t>CPU</t>
  </si>
  <si>
    <t>2018.03</t>
  </si>
  <si>
    <t>2019.07</t>
  </si>
  <si>
    <t>Teclado</t>
  </si>
  <si>
    <t>2018.04</t>
  </si>
  <si>
    <t>2019.08</t>
  </si>
  <si>
    <t>Telefone</t>
  </si>
  <si>
    <t>2018.05</t>
  </si>
  <si>
    <t xml:space="preserve">Cadeira </t>
  </si>
  <si>
    <t>2018.06</t>
  </si>
  <si>
    <t xml:space="preserve">Gaveteiro </t>
  </si>
  <si>
    <t>2018.07</t>
  </si>
  <si>
    <t>Estação de trabalho</t>
  </si>
  <si>
    <t>2018.08</t>
  </si>
  <si>
    <t>Divisor para estação de trabalho</t>
  </si>
  <si>
    <t>2018.09</t>
  </si>
  <si>
    <t>Estabilizador</t>
  </si>
  <si>
    <t>2018.10</t>
  </si>
  <si>
    <t>2018.11</t>
  </si>
  <si>
    <t>Estação de Trabalho Diretor</t>
  </si>
  <si>
    <t>2018.12</t>
  </si>
  <si>
    <t>2019.01</t>
  </si>
  <si>
    <t>Mesa de reunião</t>
  </si>
  <si>
    <t>2019.02</t>
  </si>
  <si>
    <t>Cadeira</t>
  </si>
  <si>
    <t>2019.03</t>
  </si>
  <si>
    <t>Armário</t>
  </si>
  <si>
    <t>Televisão</t>
  </si>
  <si>
    <t>Sofá</t>
  </si>
  <si>
    <t>Projetor</t>
  </si>
  <si>
    <t xml:space="preserve">Poltrona </t>
  </si>
  <si>
    <t xml:space="preserve">Monitor </t>
  </si>
  <si>
    <t>Mesa diretor</t>
  </si>
  <si>
    <t>Valor - preço médio de aquisição, segundo o Termo de Guarda e Responsabilidade</t>
  </si>
  <si>
    <t xml:space="preserve">Índice de Correção (IPCA) - </t>
  </si>
  <si>
    <t>Vida útil em anos - vida últil em anos de acordo com a IN 1700/17 da Receita Federal, juntamente com o cádigo do bem</t>
  </si>
  <si>
    <t xml:space="preserve">Valor anual - </t>
  </si>
  <si>
    <t>Estação de Trabalho Padrão - soma do valor anual padrão</t>
  </si>
  <si>
    <t>Estação de Trabalho Diretor - soma do valor anual diretor</t>
  </si>
  <si>
    <t>Qtd. Pessoas na estação de trabalho</t>
  </si>
  <si>
    <t>Valor total das estações</t>
  </si>
  <si>
    <t>Diretor</t>
  </si>
  <si>
    <t>Padrão</t>
  </si>
  <si>
    <t>Qtd. Pessoas na estação de trabalho - quantidade de pessoas que utiliza a estação de trabalho diretor e padrão.</t>
  </si>
  <si>
    <t xml:space="preserve">Valor total das estações - </t>
  </si>
  <si>
    <t>Quantidade Atividade</t>
  </si>
  <si>
    <t>Valor das estações Disposição Final</t>
  </si>
  <si>
    <t>Valor das estações Aterro</t>
  </si>
  <si>
    <t>Valor das estações, excluido ASB</t>
  </si>
  <si>
    <t xml:space="preserve">Qtd. Atividade - quantidade de atividade </t>
  </si>
  <si>
    <t xml:space="preserve">Valor das estações Disposição Final - </t>
  </si>
  <si>
    <t xml:space="preserve">Valor das estações Aterro - </t>
  </si>
  <si>
    <t xml:space="preserve">Valor das estações, excluido ASB - </t>
  </si>
  <si>
    <t>Pessoal</t>
  </si>
  <si>
    <t>Atividade</t>
  </si>
  <si>
    <t>REMUNERAÇÃO DOS INVESTIMENTOS - ASB</t>
  </si>
  <si>
    <t>A remuneração adequada do capital investido (RA) em um empreendimento, também denominada de custo de capital, contempla a parcela relativa da remuneração do investimento (Rcapex) e a parcela relativa à recomposição dos investimentos realizados (Quota de Reintegração de Capital – QRC).
Os investimentos correspondem ao valor dos ativos disponibilizados para a prestação dos serviços, denominada de valor base de remuneração (VBR).</t>
  </si>
  <si>
    <t>CÁLCULO DA REMUNERAÇÃO DOS INVESTIMENTOS - ASB</t>
  </si>
  <si>
    <t>Fórmula</t>
  </si>
  <si>
    <t>Descrição</t>
  </si>
  <si>
    <t>(A) Remuneração do Investimento Realizado (CAPEX)</t>
  </si>
  <si>
    <t>Rcapex = BRL x CCT</t>
  </si>
  <si>
    <t>Rcapex:</t>
  </si>
  <si>
    <t>BRL</t>
  </si>
  <si>
    <t>Base de Remuneração Líquida - BRL</t>
  </si>
  <si>
    <t>CCT</t>
  </si>
  <si>
    <t>Custo de Capital - CCT</t>
  </si>
  <si>
    <t>BRL - Base de Remuneração Líquida</t>
  </si>
  <si>
    <t xml:space="preserve">BRL = (VBR - AA) </t>
  </si>
  <si>
    <t>VBR:</t>
  </si>
  <si>
    <t>Valor da Base de Remuneração</t>
  </si>
  <si>
    <t>DA:</t>
  </si>
  <si>
    <t>Depreciação Acumulada</t>
  </si>
  <si>
    <t>Base de Remuneração Líquida</t>
  </si>
  <si>
    <t>Rcapex-bar:</t>
  </si>
  <si>
    <t>Remuneração do Investimento Realizado (CAPEX)</t>
  </si>
  <si>
    <t>(B) Quota de Reintegração do Capital</t>
  </si>
  <si>
    <r>
      <t>QRC =</t>
    </r>
    <r>
      <rPr>
        <b/>
        <sz val="10"/>
        <color theme="1"/>
        <rFont val="Calibri"/>
        <family val="2"/>
      </rPr>
      <t>∑</t>
    </r>
    <r>
      <rPr>
        <b/>
        <sz val="10"/>
        <color theme="1"/>
        <rFont val="Arial"/>
        <family val="2"/>
      </rPr>
      <t xml:space="preserve"> (%Depreciação anual x investimentos )</t>
    </r>
  </si>
  <si>
    <t>Depreciação (anual)</t>
  </si>
  <si>
    <t>Valor Total da Depreciação (anual)</t>
  </si>
  <si>
    <t>(C) Remuneração Adequada</t>
  </si>
  <si>
    <t xml:space="preserve">RA = Rcapex + QRC </t>
  </si>
  <si>
    <t>Remuneração do Investimento Realizado - CAPEX</t>
  </si>
  <si>
    <t>QRC:</t>
  </si>
  <si>
    <t>Quota de Reintegração do Capital - QRC</t>
  </si>
  <si>
    <t>RA:</t>
  </si>
  <si>
    <t>Remuneração Adequada</t>
  </si>
  <si>
    <t xml:space="preserve">BASE DE REMUNERAÇÃO </t>
  </si>
  <si>
    <t>A base de remuneração corresponde à relação dos ativos constituídos pelo prestador de serviço e empregados na atividade, com a respectiva depreciação. Para o cálculo da depreciação, para as balanças, sistema de vídeo monitoramento e móveis e equipamentos do auditório e do refeitório foram utilizadas as taxas anuais de depreciação constantes na Instrução Normativa nº 1.700 de 14 de março de 2017, da Secretaria da Receita Federal do Brasil, para os demais investimentos, como lagoas de chorume, infraestruturas e o terreno, a depreciação considerou a capacidade de aterramento total do ASB.
O custo do terreno utilizado foi de R$ 128.897.524,47, que corresponde a 41% do preço original, tendo como base o percentual da área utilizada para aterramento. Quando disponibilizado o valor atualizado o mesmo será considerado integralmente. Tanto para atualização como para o cálculo da depreciação foi considerado a data de operação dos bens. O sistema de videomonitoramento foi adquirido pelo SLU por meio do Contrato n° 24 de 2016, sendo constituído por equipamentos (câmeras, servidores, estação de operação, etc.) e serviços (instalação, operação, projeto, etc.). Os valores referentes às câmeras (sendo 5 unidades em operação no ASB), ao servidor (sendo 1 unidade em operação no ASB), ao kit de monitores (sendo 1 em operação no ASB) e os DIO (sendo 3 em operação no ASB) foram alocados integralmente na base de remuneração, uma vez que se encontram em operação no Aterro de Brasília.
Quanto ao custo referente à parcela da prestação de serviço embutida no contrato do sistema de videomonitoramento, para alocá-lo ao serviço, realizou-se o rateio considerando a proporção do número de câmeras usadas no ASB (5 câmeras), em relação ao total das câmeras do contrato (30 câmeras), que resultou no percentual de alocação de 16,7%.</t>
  </si>
  <si>
    <t>Fonte: Docuemnto SEI 46576606, 47484580, 48005838 e 48985033</t>
  </si>
  <si>
    <t xml:space="preserve">BASE DE REMUNERAÇÃO DOS INVESTIMENTOS </t>
  </si>
  <si>
    <t>nº</t>
  </si>
  <si>
    <t xml:space="preserve">Valor Original </t>
  </si>
  <si>
    <t xml:space="preserve">Índice de Correção </t>
  </si>
  <si>
    <t>Nome do índice</t>
  </si>
  <si>
    <t>Valor Corrigido</t>
  </si>
  <si>
    <t>Valores atualizados pelo IGPM - atualizado até agosto 2020</t>
  </si>
  <si>
    <t xml:space="preserve">Base de Remuneração Bruta </t>
  </si>
  <si>
    <t>Data de Op</t>
  </si>
  <si>
    <t>https://www3.bcb.gov.br/CALCIDADAO/publico/corrigirPorIndice.do?method=corrigirPorIndice</t>
  </si>
  <si>
    <t>Balanças rodoviárias</t>
  </si>
  <si>
    <t>IGPM</t>
  </si>
  <si>
    <t>IPCA 08/2016 a 08/2020</t>
  </si>
  <si>
    <t>INCC 01/2017 a 08/2020</t>
  </si>
  <si>
    <t>Sistema de vídeo monitoramento</t>
  </si>
  <si>
    <t>2017.01</t>
  </si>
  <si>
    <t>1.3.1</t>
  </si>
  <si>
    <t>Equipamento</t>
  </si>
  <si>
    <t>2017.02</t>
  </si>
  <si>
    <t>1.3.2</t>
  </si>
  <si>
    <t>Serviço e equipamentos - Contrato 24/2016</t>
  </si>
  <si>
    <t>2017.03</t>
  </si>
  <si>
    <t>Lagoa de Chorume - Principal</t>
  </si>
  <si>
    <t>INCC</t>
  </si>
  <si>
    <t>2017.04</t>
  </si>
  <si>
    <t xml:space="preserve">1.5 </t>
  </si>
  <si>
    <t>Lagoa de Chorume - 06</t>
  </si>
  <si>
    <t>2017.05</t>
  </si>
  <si>
    <t>Lagoa de Chorume - 07 a 10</t>
  </si>
  <si>
    <t>2017.06</t>
  </si>
  <si>
    <t>Lagoa de Chorume - 11 a 14</t>
  </si>
  <si>
    <t>2017.07</t>
  </si>
  <si>
    <t>Acesso, cercamento e barreira vegetal</t>
  </si>
  <si>
    <t>2017.08</t>
  </si>
  <si>
    <t>Sistema viário interno e drenagem de águas pluviais</t>
  </si>
  <si>
    <t>2017.09</t>
  </si>
  <si>
    <t xml:space="preserve">Execução das edificações </t>
  </si>
  <si>
    <t>2017.10</t>
  </si>
  <si>
    <t>Construção de escola</t>
  </si>
  <si>
    <t>2017.11</t>
  </si>
  <si>
    <t>Amplificador entrada ODB, 0775</t>
  </si>
  <si>
    <t>Cadeira fixa, revestida em tecido</t>
  </si>
  <si>
    <t>Cadeira fixa sem braço</t>
  </si>
  <si>
    <t>Cadeira interlocutóra fixa c/braços</t>
  </si>
  <si>
    <t>1.16</t>
  </si>
  <si>
    <t>Forno microondas - 30 litros</t>
  </si>
  <si>
    <t>1.17</t>
  </si>
  <si>
    <t>Geladeira</t>
  </si>
  <si>
    <t>1.18</t>
  </si>
  <si>
    <t>Estufa industrial</t>
  </si>
  <si>
    <t>1.19</t>
  </si>
  <si>
    <t>Fogão c/06 bocas, com forno</t>
  </si>
  <si>
    <t>1.20</t>
  </si>
  <si>
    <t>Prolongador de suporte p/projetor</t>
  </si>
  <si>
    <t>1.21</t>
  </si>
  <si>
    <t>Suporte p/projetor de 3 e 4 furos</t>
  </si>
  <si>
    <t>1.22</t>
  </si>
  <si>
    <t>Microfone com base</t>
  </si>
  <si>
    <t>1.23</t>
  </si>
  <si>
    <t>Microfone sem fio de mão</t>
  </si>
  <si>
    <t>Fonte: https://sindusconpr.com.br/incc-di-fgv-310-p</t>
  </si>
  <si>
    <t>1.24</t>
  </si>
  <si>
    <t>Mesa de som c/16 canais</t>
  </si>
  <si>
    <t>1.25</t>
  </si>
  <si>
    <t>Projetor multimídia</t>
  </si>
  <si>
    <t>1.26</t>
  </si>
  <si>
    <t>Tela de projeção retrátil</t>
  </si>
  <si>
    <t>1.27</t>
  </si>
  <si>
    <t>Caixa de som acústica</t>
  </si>
  <si>
    <t>1.28</t>
  </si>
  <si>
    <t>Poltrona de auditório c/espaldar médio</t>
  </si>
  <si>
    <t>1.29</t>
  </si>
  <si>
    <t xml:space="preserve">Cadeira tipo longarina - 3 lugares </t>
  </si>
  <si>
    <t>1.30</t>
  </si>
  <si>
    <t>Poltrona de auditório (obesos)</t>
  </si>
  <si>
    <t>1.31</t>
  </si>
  <si>
    <t>Púlpito em madeira</t>
  </si>
  <si>
    <t>1.32</t>
  </si>
  <si>
    <t>Mesa grande para palestrante</t>
  </si>
  <si>
    <t>1.33</t>
  </si>
  <si>
    <t>Terreno</t>
  </si>
  <si>
    <t xml:space="preserve">Amortização Acumulada </t>
  </si>
  <si>
    <t>Vida útil</t>
  </si>
  <si>
    <t>Tx anual</t>
  </si>
  <si>
    <t>Qtd ano</t>
  </si>
  <si>
    <t>Tx mensal</t>
  </si>
  <si>
    <t>Qtd meses</t>
  </si>
  <si>
    <t>Amortização anual</t>
  </si>
  <si>
    <t>2.1</t>
  </si>
  <si>
    <t>2.2</t>
  </si>
  <si>
    <t>2.3</t>
  </si>
  <si>
    <t>2.4</t>
  </si>
  <si>
    <t>2.5</t>
  </si>
  <si>
    <t>2.6</t>
  </si>
  <si>
    <t>2.7</t>
  </si>
  <si>
    <t>2.8</t>
  </si>
  <si>
    <t>2.9</t>
  </si>
  <si>
    <t>2.10</t>
  </si>
  <si>
    <t>2.14</t>
  </si>
  <si>
    <t>2.15</t>
  </si>
  <si>
    <t>2.16</t>
  </si>
  <si>
    <t>2.17</t>
  </si>
  <si>
    <t>2.18</t>
  </si>
  <si>
    <t>2.19</t>
  </si>
  <si>
    <t>8479.89</t>
  </si>
  <si>
    <t>2.20</t>
  </si>
  <si>
    <t>2.21</t>
  </si>
  <si>
    <t>2.22</t>
  </si>
  <si>
    <t>2.23</t>
  </si>
  <si>
    <t>2.24</t>
  </si>
  <si>
    <t>2.25</t>
  </si>
  <si>
    <t>2.26</t>
  </si>
  <si>
    <t>2.27</t>
  </si>
  <si>
    <t>2.28</t>
  </si>
  <si>
    <t>2.29</t>
  </si>
  <si>
    <t>2.30</t>
  </si>
  <si>
    <t>2.31</t>
  </si>
  <si>
    <t>2.32</t>
  </si>
  <si>
    <t>2.33</t>
  </si>
  <si>
    <t>2.34</t>
  </si>
  <si>
    <t>2.35</t>
  </si>
  <si>
    <t>2.36</t>
  </si>
  <si>
    <t>Total da Base de Remuneração Líquida (1 - 2)</t>
  </si>
  <si>
    <t>Valor Original - Valor de aquisição do bem</t>
  </si>
  <si>
    <t>Índice de correção - é a variação do índice da data de operação até agosto de 2020</t>
  </si>
  <si>
    <t>Nome do índice- o tipo de índice utilizado na correção</t>
  </si>
  <si>
    <t xml:space="preserve">Valor corrigido - </t>
  </si>
  <si>
    <t>Vida útil  - vida últil em anos de acordo com a IN 1700/17 da Receita Federal</t>
  </si>
  <si>
    <t>Tx anual - taxa de depreciação anual de acordo com a IN 1700/17 da Receita Federal</t>
  </si>
  <si>
    <t xml:space="preserve">Tx mensal - </t>
  </si>
  <si>
    <t xml:space="preserve">Qtd ano - quantidade de anos já depreciados </t>
  </si>
  <si>
    <t>Qtd meses - quantidade de meses já depreciados</t>
  </si>
  <si>
    <t xml:space="preserve">Amortização acumulada para as balanças, sistema de vídeo monitoramento e móveis e equipamentos do auditório e do refeitório - </t>
  </si>
  <si>
    <t>Amortização acumulada para as lagoas, estruturas e terreno -</t>
  </si>
  <si>
    <t>Capacidade de aterramento - capacidade máxima de aterramento no ASB de 8.212.000 toneladas</t>
  </si>
  <si>
    <t>Qtd Aterrada total - quantidade aterrada de 01/2017 a 08/2020 de 2.344.937 toneladas</t>
  </si>
  <si>
    <t xml:space="preserve">Amortização anual para as balanças, sistema de vídeo monitoramento e móveis e equipamentos do auditório e do refeitório - </t>
  </si>
  <si>
    <t>Amortização anual para as lagoas e estruturas -</t>
  </si>
  <si>
    <t>Qtd Aterrada anual - quantidade aterrada de 09/2019 a 08/2020 de 824.652 toneladas</t>
  </si>
  <si>
    <t>Equipamentos (SEI 46576606)</t>
  </si>
  <si>
    <t>Valor</t>
  </si>
  <si>
    <t>Data</t>
  </si>
  <si>
    <t>5 Câmeras</t>
  </si>
  <si>
    <t>1 servidor de vídeo monitoramento</t>
  </si>
  <si>
    <t>1 kit de monitores LFD</t>
  </si>
  <si>
    <t xml:space="preserve">2 DIO </t>
  </si>
  <si>
    <t>1 DIO</t>
  </si>
  <si>
    <t>Serviços e equipamentos (SEI 13879176)</t>
  </si>
  <si>
    <t>Estação de Operação</t>
  </si>
  <si>
    <t>Projeto Executivo</t>
  </si>
  <si>
    <t>Treinamento no Sistema</t>
  </si>
  <si>
    <t>Operação assistida</t>
  </si>
  <si>
    <t>Instalação básica</t>
  </si>
  <si>
    <t>Instalação avançada</t>
  </si>
  <si>
    <t>a</t>
  </si>
  <si>
    <t>Total de câmeras</t>
  </si>
  <si>
    <t>b</t>
  </si>
  <si>
    <t>Qtd de câmeras no ASB</t>
  </si>
  <si>
    <t>Valor dos serviços alocados no ASB                          (serviço e equipamentos x % alocação custo)</t>
  </si>
  <si>
    <t>% alocação custo das câmeras (b/a)</t>
  </si>
  <si>
    <t>CUSTO DE CAPITAL</t>
  </si>
  <si>
    <t>A remuneração do investimento é calculado pela multiplicação da base de remuneração do capital pela taxa de juros correspondente ao custo do capital. O custo de capital corresponde a taxa SElic de agosto de 2020.</t>
  </si>
  <si>
    <t>Custo de Capital Total</t>
  </si>
  <si>
    <t>TAXA SELIC (ago/20)</t>
  </si>
  <si>
    <t>TAXA SELIC</t>
  </si>
  <si>
    <t xml:space="preserve">Fonte: </t>
  </si>
  <si>
    <t>https://www.bcb.gov.br/</t>
  </si>
  <si>
    <t>PROVISÕES PARA MANUTENÇÃO DO ATERRO E TRATAMENTO DO CHORUME APÓS ENCERRAMENTO E CUSTO DO TERRENO</t>
  </si>
  <si>
    <t>Provisão para manutenção do aterro após encerramento</t>
  </si>
  <si>
    <t xml:space="preserve">Mesmo após o encerramento do Aterro Sanitário de Brasília há custos e despesas, pois é necessário o acompanhamento e cuidado por 20 anos por parte do SLU. Esses custos e despesas devem ser financiados pelos usuários do serviço. Desse modo, esses valores devem ser acrescentados na formação do preço. Para determinação do valor anual necessário consideramos as atividades necessárias para o monitoramento do aterro após o fechamento, considerando os valores da planilha P1 que embasou o Pregão Eletrônico n° 14/2017, e o valor referente a segurança, considerando o gasto informado pelo SLU.A planilha P1 foi desenvolvida com base no SINAPI de 2018 e para a área da Unidade de Recebimento de Entulho – URE, que tem uma área de 130 hectares. Assim, foi realizado a atualização dos valores até agosto de 2020, pelo IPCA, e a proporção do valor considerando o tamanho da área do ASB e do serviço, pois dependendo da natureza do serviço foi considerado a área total do ASB (79 hectares) ou a área de aterramento (32 hectares) ou o valor integral, quando o tamanho da área é irrelevante para a atividade.                        </t>
  </si>
  <si>
    <t>Serviço</t>
  </si>
  <si>
    <t>Valor anual em jun/18</t>
  </si>
  <si>
    <t>Valor anual em ago/20</t>
  </si>
  <si>
    <t>Tipo de proporção</t>
  </si>
  <si>
    <t>Valor proporcional ao Aterro</t>
  </si>
  <si>
    <t>Topografia inicial</t>
  </si>
  <si>
    <t>Área aterramento (32)</t>
  </si>
  <si>
    <t>Sobrevôo</t>
  </si>
  <si>
    <t>Valor integral</t>
  </si>
  <si>
    <t>Relatórios</t>
  </si>
  <si>
    <t>Sistema viário de acessos</t>
  </si>
  <si>
    <t>Área total (79)</t>
  </si>
  <si>
    <t>Drenagem de águas pluviais</t>
  </si>
  <si>
    <t>Drenagem de chorume</t>
  </si>
  <si>
    <t>Drenagem de biogás</t>
  </si>
  <si>
    <t>Cercas</t>
  </si>
  <si>
    <t>Monitoramento</t>
  </si>
  <si>
    <t>Monitoramento ambiental</t>
  </si>
  <si>
    <t>Segurança</t>
  </si>
  <si>
    <t>TOTAL</t>
  </si>
  <si>
    <t>Fonte: Documento SEI 12403719</t>
  </si>
  <si>
    <t xml:space="preserve">Índice de Correção - </t>
  </si>
  <si>
    <t xml:space="preserve">Valor anual em ago/20 - </t>
  </si>
  <si>
    <t>URE - tamanho da Unidade de Recebiemnto de Entulho, 132 hectares</t>
  </si>
  <si>
    <t>Área total - tamanho total do Aterro Sanitário de Brasília, 79 hectares</t>
  </si>
  <si>
    <t>Área aterramento - tamanho da área para aterramento no Aterro Sanitário de Brasília, 32 hectares</t>
  </si>
  <si>
    <t>Valor proporcional ao Aterro tipo de proporção valor integral - é a totalidade do valor anual em ago/20</t>
  </si>
  <si>
    <t xml:space="preserve">Valor proporcional ao Aterro tipo de proporção área aterramento (32) - </t>
  </si>
  <si>
    <t xml:space="preserve">Valor proporcional ao Aterro tipo de proporção área total (79) - </t>
  </si>
  <si>
    <t>Cálculo da Provisão para manutenção do aterro após encerrameto</t>
  </si>
  <si>
    <t>Valor anual para manutenção</t>
  </si>
  <si>
    <t>Valor para manutenção de 20 anos</t>
  </si>
  <si>
    <t>Capacidade total de aterramento</t>
  </si>
  <si>
    <t>Valor anual para manutenção - valor proporcional ao Aterro total</t>
  </si>
  <si>
    <t xml:space="preserve">Valor para manutenção de 20 anos - </t>
  </si>
  <si>
    <t>Capacidade total de aterramento- quantidade máxima para aterramento do ASB</t>
  </si>
  <si>
    <t>Provisão para o tratamento do Chorume após encerramento do aterro</t>
  </si>
  <si>
    <t xml:space="preserve">Mesmo após o encerramento do aterro há geração de chorume que deverá ser tratado pelo SLU. Foi estimado uma geração de lixiviado para os 20 anos após o encerramento do aterro, considerando a área aterrada, a média de precipitação e a taxa de infiltração de precipitação no maciço.
A área do ASB é composta por três etapas, com 110.000 m³, 121.850 m³ e 88.000 m³, totalizando 319.850 m³.
</t>
  </si>
  <si>
    <r>
      <t>Área (m</t>
    </r>
    <r>
      <rPr>
        <vertAlign val="superscript"/>
        <sz val="12"/>
        <color theme="0"/>
        <rFont val="Times New Roman"/>
        <family val="1"/>
      </rPr>
      <t>2</t>
    </r>
    <r>
      <rPr>
        <sz val="12"/>
        <color theme="0"/>
        <rFont val="Times New Roman"/>
        <family val="1"/>
      </rPr>
      <t>)</t>
    </r>
  </si>
  <si>
    <t>Precipitação (m/ano)</t>
  </si>
  <si>
    <t>Infiltração (%)</t>
  </si>
  <si>
    <t>Qtd de anos</t>
  </si>
  <si>
    <r>
      <t>Volume (m</t>
    </r>
    <r>
      <rPr>
        <vertAlign val="superscript"/>
        <sz val="12"/>
        <color theme="0"/>
        <rFont val="Times New Roman"/>
        <family val="1"/>
      </rPr>
      <t>3</t>
    </r>
    <r>
      <rPr>
        <sz val="12"/>
        <color theme="0"/>
        <rFont val="Times New Roman"/>
        <family val="1"/>
      </rPr>
      <t>)</t>
    </r>
  </si>
  <si>
    <r>
      <t>Volume Total (m</t>
    </r>
    <r>
      <rPr>
        <vertAlign val="superscript"/>
        <sz val="12"/>
        <color theme="0"/>
        <rFont val="Times New Roman"/>
        <family val="1"/>
      </rPr>
      <t>3</t>
    </r>
    <r>
      <rPr>
        <sz val="12"/>
        <color theme="0"/>
        <rFont val="Times New Roman"/>
        <family val="1"/>
      </rPr>
      <t>)</t>
    </r>
  </si>
  <si>
    <r>
      <t>Volume (m</t>
    </r>
    <r>
      <rPr>
        <i/>
        <sz val="11"/>
        <color theme="1"/>
        <rFont val="Calibri"/>
        <family val="2"/>
        <scheme val="minor"/>
      </rPr>
      <t>³</t>
    </r>
    <r>
      <rPr>
        <sz val="11"/>
        <color theme="1"/>
        <rFont val="Calibri"/>
        <family val="2"/>
        <scheme val="minor"/>
      </rPr>
      <t xml:space="preserve">) - </t>
    </r>
  </si>
  <si>
    <t>Cálculo da Provisão para o tratamento do Chorume após encerrameto do aterro</t>
  </si>
  <si>
    <t>Estimativa de Chorume 20 anos (m³)</t>
  </si>
  <si>
    <t>Preço do tratamento do Chorume (R$/m³)</t>
  </si>
  <si>
    <t>Preço do tratamento do Chorume para  20 anos  (R$/m³)</t>
  </si>
  <si>
    <t>Capacidade total de aterramento (t)</t>
  </si>
  <si>
    <t xml:space="preserve">Preço do tratamento do chorume por tonelada </t>
  </si>
  <si>
    <t>Estimativa de Chorume 20 anos (m³) - Volume (m³) total</t>
  </si>
  <si>
    <t>Preço do tratamento do Chorume (R$/m³) - preço base do Pregão Eletrônico n° 02/2020, cotação do mercado</t>
  </si>
  <si>
    <t xml:space="preserve">Preço do tratamento do Chorume para  20 anos  (R$/m³) - </t>
  </si>
  <si>
    <t>Capacidade total de aterramento (t)- quantidade máxima para aterramento do ASB</t>
  </si>
  <si>
    <t xml:space="preserve">Preço do tratamento do chorume por tonelada- </t>
  </si>
  <si>
    <t>Custo do Terreno</t>
  </si>
  <si>
    <t xml:space="preserve">  Consideramos que o mais adequado para composição do preço, em substituição da quota de reintegração do capital, é acrescentar o preço do terreno por tonelada aterrada diretamente no preço. Foi arbitrado o valor de R$ 128.897.524,47 para o terreno, tendo como base o percentual da área destinada exclusivamente para o aterramento.</t>
  </si>
  <si>
    <t>Cálculo do Custo do Terreno</t>
  </si>
  <si>
    <t>Valor do Terreno (m²) - valor arbitrado para o terrena do ASB</t>
  </si>
  <si>
    <t>Disposição final de resíduos sólidos no Aterro de Brasília</t>
  </si>
  <si>
    <t>limpeza de vias e logradouros públicos realizada pós-eventos</t>
  </si>
  <si>
    <t>Valor do Terreno (R$)</t>
  </si>
  <si>
    <t xml:space="preserve">Amortização do Terreno por tonelada - </t>
  </si>
  <si>
    <t>Amortização do Terreno por tonelada (R$/t)</t>
  </si>
  <si>
    <t>Valor anual em jun/18- valor anual da P1 do Pregão Eletrônico n° 14/2017 em junho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</si>
</sst>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4" formatCode="_-&quot;R$&quot;\ * #,##0.00_-;\-&quot;R$&quot;\ * #,##0.00_-;_-&quot;R$&quot;\ * &quot;-&quot;??_-;_-@_-"/>
    <numFmt numFmtId="43" formatCode="_-* #,##0.00_-;\-* #,##0.00_-;_-* &quot;-&quot;??_-;_-@_-"/>
    <numFmt numFmtId="164" formatCode="_(* #,##0_);_(* \(#,##0\);_(* &quot;-&quot;_);_(@_)"/>
    <numFmt numFmtId="165" formatCode="_(* #,##0.00_);_(* \(#,##0.00\);_(* &quot;-&quot;??_);_(@_)"/>
    <numFmt numFmtId="166" formatCode="_([$€]\ * #,##0.00_);_([$€]\ * \(#,##0.00\);_([$€]\ * &quot;-&quot;??_);_(@_)"/>
    <numFmt numFmtId="167" formatCode="[$-416]mmm\-yy;@"/>
    <numFmt numFmtId="168" formatCode="m\-d\-\y\y"/>
    <numFmt numFmtId="169" formatCode="0.0000"/>
    <numFmt numFmtId="170" formatCode="General_)"/>
    <numFmt numFmtId="171" formatCode="#\ ###\ ###\ ##0\ "/>
    <numFmt numFmtId="172" formatCode="&quot;$&quot;#,##0\ ;\(&quot;$&quot;#,##0\)"/>
    <numFmt numFmtId="173" formatCode="&quot;$&quot;#,##0_);[Red]\(&quot;$&quot;#,##0\)"/>
    <numFmt numFmtId="174" formatCode="_-* #,##0.0_-;\-* #,##0.0_-;_-* &quot;-&quot;??_-;_-@_-"/>
    <numFmt numFmtId="175" formatCode="#,#00"/>
    <numFmt numFmtId="176" formatCode="0.0%;_(&quot;-&quot;_)"/>
    <numFmt numFmtId="177" formatCode="_(&quot;R$ &quot;* #,##0.00_);_(&quot;R$ &quot;* \(#,##0.00\);_(&quot;R$ &quot;* &quot;-&quot;??_);_(@_)"/>
    <numFmt numFmtId="178" formatCode="\$#,"/>
    <numFmt numFmtId="179" formatCode="_(&quot;$&quot;* #,##0_);_(&quot;$&quot;* \(#,##0\);_(&quot;$&quot;* &quot;-&quot;_);_(@_)"/>
    <numFmt numFmtId="180" formatCode="#,##0.0%;[Red]\(#,##0.0%\)"/>
    <numFmt numFmtId="181" formatCode="0.00%;\(0.00%\)"/>
    <numFmt numFmtId="182" formatCode="#,##0.00;\(#,##0.00\)"/>
    <numFmt numFmtId="183" formatCode="0_)"/>
    <numFmt numFmtId="184" formatCode="#,"/>
    <numFmt numFmtId="185" formatCode="#.##000"/>
    <numFmt numFmtId="186" formatCode="#.##0,"/>
    <numFmt numFmtId="187" formatCode="_-* #,##0_-;\-* #,##0_-;_-* &quot;-&quot;??_-;_-@_-"/>
    <numFmt numFmtId="188" formatCode="_([$€-2]* #,##0.00_);_([$€-2]* \(#,##0.00\);_([$€-2]* &quot;-&quot;??_)"/>
    <numFmt numFmtId="189" formatCode="_-&quot;R$&quot;\ * #,##0_-;\-&quot;R$&quot;\ * #,##0_-;_-&quot;R$&quot;\ * &quot;-&quot;??_-;_-@_-"/>
    <numFmt numFmtId="190" formatCode="0.00000000"/>
    <numFmt numFmtId="191" formatCode="_-* #,##0.0000000_-;\-* #,##0.0000000_-;_-* &quot;-&quot;??_-;_-@_-"/>
    <numFmt numFmtId="192" formatCode="0.0%"/>
    <numFmt numFmtId="193" formatCode="0.00000"/>
    <numFmt numFmtId="194" formatCode="_-* #,##0.000000_-;\-* #,##0.000000_-;_-* &quot;-&quot;??_-;_-@_-"/>
    <numFmt numFmtId="195" formatCode="[$-416]mmmm\-yy;@"/>
    <numFmt numFmtId="196" formatCode="_-* #,##0.00000_-;\-* #,##0.00000_-;_-* &quot;-&quot;??_-;_-@_-"/>
    <numFmt numFmtId="197" formatCode="0.0000000"/>
    <numFmt numFmtId="198" formatCode="_-* #,##0.0000_-;\-* #,##0.0000_-;_-* &quot;-&quot;??_-;_-@_-"/>
    <numFmt numFmtId="199" formatCode="_-[$R$-416]* #,##0.00_-;\-[$R$-416]* #,##0.00_-;_-[$R$-416]* &quot;-&quot;??_-;_-@_-"/>
  </numFmts>
  <fonts count="102">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Courier"/>
      <family val="3"/>
    </font>
    <font>
      <sz val="12"/>
      <name val="Times New Roman"/>
      <family val="1"/>
    </font>
    <font>
      <sz val="12"/>
      <color indexed="8"/>
      <name val="Arial"/>
      <family val="2"/>
    </font>
    <font>
      <b/>
      <sz val="10"/>
      <color indexed="8"/>
      <name val="Arial"/>
      <family val="2"/>
    </font>
    <font>
      <b/>
      <sz val="10"/>
      <name val="Arial"/>
      <family val="2"/>
    </font>
    <font>
      <sz val="12"/>
      <name val="Tms Rmn"/>
    </font>
    <font>
      <sz val="8"/>
      <name val="SwitzerlandLight"/>
    </font>
    <font>
      <sz val="7"/>
      <name val="SwitzerlandLight"/>
    </font>
    <font>
      <sz val="1"/>
      <color indexed="8"/>
      <name val="Courier"/>
      <family val="3"/>
    </font>
    <font>
      <b/>
      <sz val="10"/>
      <color indexed="18"/>
      <name val="Arial"/>
      <family val="2"/>
    </font>
    <font>
      <sz val="10"/>
      <name val="Helv"/>
    </font>
    <font>
      <sz val="10"/>
      <color indexed="24"/>
      <name val="Arial"/>
      <family val="2"/>
    </font>
    <font>
      <sz val="11"/>
      <name val="??"/>
      <family val="3"/>
      <charset val="129"/>
    </font>
    <font>
      <sz val="8"/>
      <name val="Arial"/>
      <family val="2"/>
    </font>
    <font>
      <sz val="8"/>
      <name val="Times New Roman"/>
      <family val="1"/>
    </font>
    <font>
      <b/>
      <sz val="48"/>
      <color indexed="12"/>
      <name val="Lucida Console"/>
      <family val="3"/>
    </font>
    <font>
      <sz val="10"/>
      <color indexed="18"/>
      <name val="Arial"/>
      <family val="2"/>
    </font>
    <font>
      <b/>
      <u/>
      <sz val="11"/>
      <color indexed="37"/>
      <name val="Arial"/>
      <family val="2"/>
    </font>
    <font>
      <b/>
      <sz val="12"/>
      <name val="Arial"/>
      <family val="2"/>
    </font>
    <font>
      <sz val="10"/>
      <color indexed="12"/>
      <name val="Arial"/>
      <family val="2"/>
    </font>
    <font>
      <u/>
      <sz val="10"/>
      <color indexed="12"/>
      <name val="Arial"/>
      <family val="2"/>
    </font>
    <font>
      <b/>
      <sz val="12"/>
      <color indexed="8"/>
      <name val="Times New Roman"/>
      <family val="1"/>
    </font>
    <font>
      <sz val="7"/>
      <name val="Small Fonts"/>
      <family val="2"/>
    </font>
    <font>
      <sz val="10"/>
      <name val="palatino"/>
    </font>
    <font>
      <sz val="10"/>
      <name val="Times New Roman"/>
      <family val="1"/>
    </font>
    <font>
      <sz val="12"/>
      <name val="Helv"/>
    </font>
    <font>
      <sz val="10"/>
      <name val="MS Sans Serif"/>
      <family val="2"/>
    </font>
    <font>
      <sz val="1"/>
      <color indexed="18"/>
      <name val="Courier"/>
      <family val="3"/>
    </font>
    <font>
      <sz val="10"/>
      <name val="Arial Narrow"/>
      <family val="2"/>
    </font>
    <font>
      <b/>
      <sz val="10"/>
      <color indexed="32"/>
      <name val="Arial"/>
      <family val="2"/>
    </font>
    <font>
      <sz val="12"/>
      <name val="Arial"/>
      <family val="2"/>
    </font>
    <font>
      <b/>
      <u/>
      <sz val="12"/>
      <name val="Arial"/>
      <family val="2"/>
    </font>
    <font>
      <sz val="10"/>
      <color indexed="32"/>
      <name val="Arial"/>
      <family val="2"/>
    </font>
    <font>
      <sz val="8"/>
      <color indexed="12"/>
      <name val="Arial"/>
      <family val="2"/>
    </font>
    <font>
      <b/>
      <sz val="12"/>
      <color theme="0"/>
      <name val="Arial"/>
      <family val="2"/>
    </font>
    <font>
      <b/>
      <sz val="10"/>
      <color theme="0"/>
      <name val="Arial"/>
      <family val="2"/>
    </font>
    <font>
      <b/>
      <sz val="10"/>
      <color indexed="9"/>
      <name val="Arial"/>
      <family val="2"/>
    </font>
    <font>
      <sz val="10"/>
      <color theme="1"/>
      <name val="Arial"/>
      <family val="2"/>
    </font>
    <font>
      <b/>
      <sz val="11"/>
      <color theme="1"/>
      <name val="Arial"/>
      <family val="2"/>
    </font>
    <font>
      <b/>
      <sz val="10"/>
      <color theme="1"/>
      <name val="Arial"/>
      <family val="2"/>
    </font>
    <font>
      <b/>
      <sz val="12"/>
      <color indexed="9"/>
      <name val="Arial"/>
      <family val="2"/>
    </font>
    <font>
      <b/>
      <sz val="12"/>
      <color indexed="63"/>
      <name val="Arial"/>
      <family val="2"/>
    </font>
    <font>
      <b/>
      <sz val="18"/>
      <color indexed="56"/>
      <name val="Cambria"/>
      <family val="2"/>
    </font>
    <font>
      <b/>
      <sz val="15"/>
      <color indexed="56"/>
      <name val="Calibri"/>
      <family val="2"/>
    </font>
    <font>
      <b/>
      <sz val="11"/>
      <color indexed="56"/>
      <name val="Calibri"/>
      <family val="2"/>
    </font>
    <font>
      <b/>
      <sz val="11"/>
      <color indexed="8"/>
      <name val="Calibri"/>
      <family val="2"/>
    </font>
    <font>
      <b/>
      <sz val="11"/>
      <color indexed="63"/>
      <name val="Calibri"/>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b/>
      <sz val="13"/>
      <color indexed="56"/>
      <name val="Calibri"/>
      <family val="2"/>
    </font>
    <font>
      <b/>
      <sz val="18"/>
      <color indexed="24"/>
      <name val="Arial"/>
      <family val="2"/>
    </font>
    <font>
      <b/>
      <sz val="12"/>
      <color indexed="24"/>
      <name val="Arial"/>
      <family val="2"/>
    </font>
    <font>
      <sz val="1"/>
      <color indexed="8"/>
      <name val="Courier"/>
      <family val="3"/>
    </font>
    <font>
      <sz val="1"/>
      <color indexed="18"/>
      <name val="Courier"/>
      <family val="3"/>
    </font>
    <font>
      <sz val="11"/>
      <name val="Arial"/>
      <family val="2"/>
    </font>
    <font>
      <sz val="10"/>
      <name val="Arial"/>
      <family val="2"/>
    </font>
    <font>
      <u/>
      <sz val="11"/>
      <color theme="10"/>
      <name val="Calibri"/>
      <family val="2"/>
      <scheme val="minor"/>
    </font>
    <font>
      <sz val="12"/>
      <color theme="1"/>
      <name val="Arial"/>
      <family val="2"/>
    </font>
    <font>
      <b/>
      <sz val="11"/>
      <name val="Arial"/>
      <family val="2"/>
    </font>
    <font>
      <b/>
      <sz val="11"/>
      <color theme="0"/>
      <name val="Arial"/>
      <family val="2"/>
    </font>
    <font>
      <b/>
      <sz val="12"/>
      <color rgb="FF000000"/>
      <name val="Arial"/>
      <family val="2"/>
    </font>
    <font>
      <sz val="12"/>
      <color rgb="FF000000"/>
      <name val="Arial"/>
      <family val="2"/>
    </font>
    <font>
      <sz val="11"/>
      <name val="Calibri"/>
      <family val="2"/>
      <scheme val="minor"/>
    </font>
    <font>
      <b/>
      <u/>
      <sz val="12"/>
      <color theme="0"/>
      <name val="Arial"/>
      <family val="2"/>
    </font>
    <font>
      <b/>
      <sz val="14"/>
      <color theme="0"/>
      <name val="Calibri"/>
      <family val="2"/>
      <scheme val="minor"/>
    </font>
    <font>
      <sz val="9"/>
      <color indexed="8"/>
      <name val="sansserif"/>
    </font>
    <font>
      <b/>
      <sz val="11"/>
      <color theme="0"/>
      <name val="Calibri"/>
      <family val="2"/>
      <scheme val="minor"/>
    </font>
    <font>
      <sz val="10"/>
      <color rgb="FF000000"/>
      <name val="Times New Roman"/>
      <family val="1"/>
    </font>
    <font>
      <sz val="10"/>
      <color rgb="FF000000"/>
      <name val="Arial"/>
      <family val="2"/>
    </font>
    <font>
      <b/>
      <sz val="10"/>
      <color rgb="FFFFFFFF"/>
      <name val="Arial"/>
      <family val="2"/>
    </font>
    <font>
      <b/>
      <sz val="10"/>
      <color rgb="FF000000"/>
      <name val="Trebuchet MS"/>
      <family val="2"/>
    </font>
    <font>
      <sz val="10"/>
      <color rgb="FF000000"/>
      <name val="Trebuchet MS"/>
      <family val="2"/>
    </font>
    <font>
      <b/>
      <sz val="11"/>
      <color theme="1"/>
      <name val="Calibri"/>
      <family val="2"/>
      <scheme val="minor"/>
    </font>
    <font>
      <b/>
      <sz val="12"/>
      <color theme="0"/>
      <name val="Calibri"/>
      <family val="2"/>
      <scheme val="minor"/>
    </font>
    <font>
      <b/>
      <sz val="10"/>
      <color theme="1"/>
      <name val="Calibri"/>
      <family val="2"/>
    </font>
    <font>
      <b/>
      <sz val="14"/>
      <name val="Calibri"/>
      <family val="2"/>
      <scheme val="minor"/>
    </font>
    <font>
      <sz val="8"/>
      <name val="Calibri"/>
      <family val="2"/>
      <scheme val="minor"/>
    </font>
    <font>
      <b/>
      <sz val="12"/>
      <color theme="1"/>
      <name val="Calibri"/>
      <family val="2"/>
      <scheme val="minor"/>
    </font>
    <font>
      <sz val="12"/>
      <color theme="1"/>
      <name val="Calibri"/>
      <family val="2"/>
      <scheme val="minor"/>
    </font>
    <font>
      <sz val="8"/>
      <color theme="1"/>
      <name val="Arial"/>
      <family val="2"/>
    </font>
    <font>
      <sz val="12"/>
      <color theme="1"/>
      <name val="Times New Roman"/>
      <family val="1"/>
    </font>
    <font>
      <sz val="10"/>
      <color theme="0"/>
      <name val="Arial"/>
      <family val="2"/>
    </font>
    <font>
      <sz val="9"/>
      <name val="Arial"/>
      <family val="2"/>
    </font>
    <font>
      <b/>
      <sz val="10"/>
      <color rgb="FF000000"/>
      <name val="Arial"/>
      <family val="2"/>
    </font>
    <font>
      <b/>
      <sz val="18"/>
      <name val="Arial"/>
      <family val="2"/>
    </font>
    <font>
      <sz val="18"/>
      <name val="Arial"/>
      <family val="2"/>
    </font>
    <font>
      <b/>
      <sz val="17"/>
      <name val="Arial"/>
      <family val="2"/>
    </font>
    <font>
      <sz val="17"/>
      <name val="Arial"/>
      <family val="2"/>
    </font>
    <font>
      <b/>
      <sz val="16"/>
      <name val="Arial"/>
      <family val="2"/>
    </font>
    <font>
      <sz val="12"/>
      <color rgb="FF000000"/>
      <name val="Calibri"/>
      <family val="2"/>
    </font>
    <font>
      <u val="singleAccounting"/>
      <sz val="12"/>
      <color theme="0"/>
      <name val="Arial"/>
      <family val="2"/>
    </font>
    <font>
      <b/>
      <sz val="13"/>
      <color theme="1"/>
      <name val="Calibri"/>
      <family val="2"/>
      <scheme val="minor"/>
    </font>
    <font>
      <sz val="12"/>
      <color theme="0"/>
      <name val="Times New Roman"/>
      <family val="1"/>
    </font>
    <font>
      <vertAlign val="superscript"/>
      <sz val="12"/>
      <color theme="0"/>
      <name val="Times New Roman"/>
      <family val="1"/>
    </font>
    <font>
      <i/>
      <sz val="11"/>
      <color theme="1"/>
      <name val="Calibri"/>
      <family val="2"/>
      <scheme val="minor"/>
    </font>
  </fonts>
  <fills count="41">
    <fill>
      <patternFill patternType="none"/>
    </fill>
    <fill>
      <patternFill patternType="gray125"/>
    </fill>
    <fill>
      <patternFill patternType="solid">
        <fgColor theme="4"/>
        <bgColor indexed="64"/>
      </patternFill>
    </fill>
    <fill>
      <patternFill patternType="solid">
        <fgColor indexed="22"/>
        <bgColor indexed="19"/>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8"/>
        <bgColor indexed="64"/>
      </patternFill>
    </fill>
    <fill>
      <patternFill patternType="solid">
        <fgColor indexed="53"/>
        <bgColor indexed="64"/>
      </patternFill>
    </fill>
    <fill>
      <patternFill patternType="solid">
        <fgColor indexed="9"/>
        <bgColor indexed="19"/>
      </patternFill>
    </fill>
    <fill>
      <patternFill patternType="solid">
        <fgColor indexed="9"/>
        <bgColor indexed="43"/>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rgb="FFD9E0F1"/>
      </patternFill>
    </fill>
    <fill>
      <patternFill patternType="solid">
        <fgColor rgb="FF002060"/>
        <bgColor indexed="64"/>
      </patternFill>
    </fill>
    <fill>
      <patternFill patternType="solid">
        <fgColor theme="4" tint="0.79998168889431442"/>
        <bgColor indexed="64"/>
      </patternFill>
    </fill>
    <fill>
      <patternFill patternType="solid">
        <fgColor rgb="FF002776"/>
        <bgColor rgb="FF000000"/>
      </patternFill>
    </fill>
    <fill>
      <patternFill patternType="solid">
        <fgColor theme="4" tint="-0.249977111117893"/>
        <bgColor indexed="64"/>
      </patternFill>
    </fill>
  </fills>
  <borders count="67">
    <border>
      <left/>
      <right/>
      <top/>
      <bottom/>
      <diagonal/>
    </border>
    <border>
      <left style="double">
        <color indexed="64"/>
      </left>
      <right/>
      <top/>
      <bottom style="hair">
        <color indexed="64"/>
      </bottom>
      <diagonal/>
    </border>
    <border>
      <left/>
      <right style="hair">
        <color indexed="64"/>
      </right>
      <top/>
      <bottom/>
      <diagonal/>
    </border>
    <border>
      <left style="double">
        <color indexed="64"/>
      </left>
      <right/>
      <top style="double">
        <color indexed="64"/>
      </top>
      <bottom style="double">
        <color indexed="64"/>
      </bottom>
      <diagonal/>
    </border>
    <border>
      <left/>
      <right style="thin">
        <color indexed="8"/>
      </right>
      <top/>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auto="1"/>
      </bottom>
      <diagonal/>
    </border>
    <border>
      <left/>
      <right/>
      <top/>
      <bottom style="thin">
        <color indexed="64"/>
      </bottom>
      <diagonal/>
    </border>
    <border>
      <left/>
      <right/>
      <top/>
      <bottom style="thin">
        <color auto="1"/>
      </bottom>
      <diagonal/>
    </border>
    <border>
      <left/>
      <right/>
      <top style="thin">
        <color indexed="64"/>
      </top>
      <bottom style="thin">
        <color auto="1"/>
      </bottom>
      <diagonal/>
    </border>
    <border>
      <left style="double">
        <color indexed="64"/>
      </left>
      <right style="double">
        <color indexed="64"/>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4"/>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bottom style="double">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4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0" fontId="3" fillId="0" borderId="0">
      <alignment vertical="top"/>
    </xf>
    <xf numFmtId="0" fontId="3" fillId="0" borderId="0">
      <alignment vertical="top"/>
    </xf>
    <xf numFmtId="166"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0" fontId="3" fillId="0" borderId="0">
      <alignment vertical="top"/>
    </xf>
    <xf numFmtId="166" fontId="3" fillId="0" borderId="0">
      <alignment vertical="top"/>
    </xf>
    <xf numFmtId="166" fontId="3" fillId="0" borderId="0">
      <alignment vertical="top"/>
    </xf>
    <xf numFmtId="167" fontId="4" fillId="0" borderId="0">
      <alignment vertical="center"/>
    </xf>
    <xf numFmtId="0" fontId="5" fillId="0" borderId="0" applyNumberFormat="0" applyFill="0" applyBorder="0" applyAlignment="0" applyProtection="0"/>
    <xf numFmtId="3" fontId="6" fillId="3" borderId="0">
      <alignment horizontal="left"/>
    </xf>
    <xf numFmtId="3" fontId="7" fillId="4" borderId="0"/>
    <xf numFmtId="0" fontId="2" fillId="0" borderId="0">
      <alignment vertical="center"/>
    </xf>
    <xf numFmtId="168" fontId="8" fillId="5" borderId="1">
      <alignment horizontal="center" vertical="center"/>
    </xf>
    <xf numFmtId="0" fontId="2" fillId="0" borderId="0"/>
    <xf numFmtId="0" fontId="2" fillId="0" borderId="0"/>
    <xf numFmtId="0" fontId="2" fillId="0" borderId="0"/>
    <xf numFmtId="166" fontId="2" fillId="0" borderId="0"/>
    <xf numFmtId="10" fontId="2" fillId="6" borderId="0" applyFont="0" applyBorder="0" applyAlignment="0">
      <protection locked="0"/>
    </xf>
    <xf numFmtId="169" fontId="2" fillId="6" borderId="0" applyBorder="0" applyAlignment="0">
      <protection locked="0"/>
    </xf>
    <xf numFmtId="0" fontId="9" fillId="0" borderId="0" applyNumberFormat="0" applyFill="0" applyBorder="0" applyAlignment="0" applyProtection="0"/>
    <xf numFmtId="170" fontId="10" fillId="0" borderId="0">
      <alignment vertical="top"/>
    </xf>
    <xf numFmtId="171" fontId="11" fillId="0" borderId="2"/>
    <xf numFmtId="0" fontId="12" fillId="0" borderId="0">
      <protection locked="0"/>
    </xf>
    <xf numFmtId="0" fontId="12" fillId="0" borderId="0">
      <protection locked="0"/>
    </xf>
    <xf numFmtId="14" fontId="13" fillId="7" borderId="3" applyBorder="0" applyAlignment="0">
      <alignment horizontal="center" vertical="center"/>
    </xf>
    <xf numFmtId="0" fontId="13" fillId="8" borderId="3" applyNumberFormat="0" applyBorder="0" applyAlignment="0">
      <alignment horizontal="center" vertical="center"/>
    </xf>
    <xf numFmtId="0" fontId="14" fillId="0" borderId="4"/>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3" fontId="15" fillId="0" borderId="0" applyFont="0" applyFill="0" applyBorder="0" applyAlignment="0" applyProtection="0"/>
    <xf numFmtId="165" fontId="2" fillId="9" borderId="0" applyNumberFormat="0" applyFont="0" applyBorder="0" applyAlignment="0" applyProtection="0"/>
    <xf numFmtId="0" fontId="14" fillId="0" borderId="4"/>
    <xf numFmtId="172" fontId="15" fillId="0" borderId="0" applyFont="0" applyFill="0" applyBorder="0" applyAlignment="0" applyProtection="0"/>
    <xf numFmtId="0" fontId="12" fillId="0" borderId="0">
      <protection locked="0"/>
    </xf>
    <xf numFmtId="173" fontId="16" fillId="0" borderId="0">
      <protection locked="0"/>
    </xf>
    <xf numFmtId="0" fontId="3" fillId="0" borderId="0">
      <alignment vertical="top"/>
    </xf>
    <xf numFmtId="166" fontId="17" fillId="0" borderId="0" applyFont="0" applyFill="0" applyBorder="0" applyAlignment="0" applyProtection="0"/>
    <xf numFmtId="37" fontId="18" fillId="0" borderId="0" applyBorder="0" applyAlignment="0"/>
    <xf numFmtId="174" fontId="2" fillId="0" borderId="0">
      <protection locked="0"/>
    </xf>
    <xf numFmtId="175" fontId="12" fillId="0" borderId="0">
      <protection locked="0"/>
    </xf>
    <xf numFmtId="0" fontId="19" fillId="6" borderId="0" applyNumberFormat="0" applyFont="0" applyBorder="0" applyAlignment="0" applyProtection="0">
      <alignment horizontal="centerContinuous"/>
    </xf>
    <xf numFmtId="0" fontId="19" fillId="10" borderId="0" applyNumberFormat="0" applyFont="0" applyBorder="0" applyAlignment="0" applyProtection="0">
      <alignment horizontal="centerContinuous"/>
    </xf>
    <xf numFmtId="0" fontId="20" fillId="4" borderId="5" applyNumberFormat="0" applyFont="0" applyBorder="0" applyAlignment="0"/>
    <xf numFmtId="0" fontId="2" fillId="6" borderId="6" applyNumberFormat="0" applyFont="0" applyBorder="0" applyAlignment="0" applyProtection="0"/>
    <xf numFmtId="10" fontId="2" fillId="6" borderId="0" applyNumberFormat="0" applyFont="0" applyBorder="0" applyAlignment="0"/>
    <xf numFmtId="38" fontId="17" fillId="4" borderId="0" applyNumberFormat="0" applyBorder="0" applyAlignment="0" applyProtection="0"/>
    <xf numFmtId="0" fontId="21" fillId="0" borderId="0" applyNumberFormat="0" applyFill="0" applyBorder="0" applyAlignment="0" applyProtection="0"/>
    <xf numFmtId="0" fontId="22" fillId="0" borderId="7" applyNumberFormat="0" applyAlignment="0" applyProtection="0">
      <alignment horizontal="left" vertical="center"/>
    </xf>
    <xf numFmtId="0" fontId="22" fillId="0" borderId="8">
      <alignment horizontal="left" vertical="center"/>
    </xf>
    <xf numFmtId="176" fontId="2" fillId="0" borderId="0">
      <protection locked="0"/>
    </xf>
    <xf numFmtId="176" fontId="2" fillId="0" borderId="0">
      <protection locked="0"/>
    </xf>
    <xf numFmtId="0" fontId="23" fillId="0" borderId="9" applyNumberFormat="0" applyFill="0" applyAlignment="0" applyProtection="0"/>
    <xf numFmtId="0" fontId="24" fillId="0" borderId="0" applyNumberFormat="0" applyFill="0" applyBorder="0" applyAlignment="0" applyProtection="0">
      <alignment vertical="top"/>
      <protection locked="0"/>
    </xf>
    <xf numFmtId="0" fontId="4" fillId="0" borderId="0"/>
    <xf numFmtId="10" fontId="17" fillId="6" borderId="10" applyNumberFormat="0" applyBorder="0" applyAlignment="0" applyProtection="0"/>
    <xf numFmtId="164" fontId="3" fillId="0" borderId="0" applyFont="0" applyFill="0" applyBorder="0" applyAlignment="0" applyProtection="0"/>
    <xf numFmtId="4" fontId="15" fillId="0" borderId="0" applyFont="0" applyFill="0" applyBorder="0" applyAlignment="0" applyProtection="0"/>
    <xf numFmtId="177" fontId="2" fillId="0" borderId="0" applyFont="0" applyFill="0" applyBorder="0" applyAlignment="0" applyProtection="0"/>
    <xf numFmtId="178" fontId="12" fillId="0" borderId="0">
      <protection locked="0"/>
    </xf>
    <xf numFmtId="179" fontId="3" fillId="0" borderId="0" applyFont="0" applyFill="0" applyBorder="0" applyAlignment="0" applyProtection="0"/>
    <xf numFmtId="177" fontId="2" fillId="0" borderId="0" applyFont="0" applyFill="0" applyBorder="0" applyAlignment="0" applyProtection="0"/>
    <xf numFmtId="3" fontId="25" fillId="3" borderId="11">
      <alignment horizontal="center"/>
    </xf>
    <xf numFmtId="37" fontId="26" fillId="0" borderId="0"/>
    <xf numFmtId="180" fontId="2" fillId="0" borderId="0"/>
    <xf numFmtId="181" fontId="27" fillId="0" borderId="0"/>
    <xf numFmtId="182" fontId="27" fillId="0" borderId="0"/>
    <xf numFmtId="0" fontId="2" fillId="0" borderId="0"/>
    <xf numFmtId="0" fontId="28" fillId="0" borderId="0"/>
    <xf numFmtId="0" fontId="2" fillId="0" borderId="0">
      <alignment vertical="top"/>
    </xf>
    <xf numFmtId="0" fontId="2" fillId="0" borderId="0"/>
    <xf numFmtId="167" fontId="2" fillId="0" borderId="0">
      <alignment vertical="top"/>
    </xf>
    <xf numFmtId="0" fontId="2" fillId="0" borderId="0"/>
    <xf numFmtId="0" fontId="2" fillId="0" borderId="0">
      <alignment vertical="center"/>
    </xf>
    <xf numFmtId="0" fontId="2" fillId="0" borderId="0"/>
    <xf numFmtId="183" fontId="29" fillId="0" borderId="0"/>
    <xf numFmtId="0" fontId="2" fillId="0" borderId="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15" fillId="0" borderId="0" applyFont="0" applyFill="0" applyBorder="0" applyAlignment="0" applyProtection="0"/>
    <xf numFmtId="0" fontId="8" fillId="5" borderId="12" applyNumberFormat="0" applyFont="0" applyBorder="0" applyAlignment="0" applyProtection="0"/>
    <xf numFmtId="14" fontId="13" fillId="11" borderId="9" applyNumberFormat="0" applyFont="0" applyBorder="0" applyAlignment="0" applyProtection="0">
      <alignment horizontal="center" vertical="center"/>
    </xf>
    <xf numFmtId="38" fontId="30" fillId="0" borderId="0" applyFont="0" applyFill="0" applyBorder="0" applyAlignment="0" applyProtection="0"/>
    <xf numFmtId="184" fontId="31" fillId="0" borderId="0">
      <protection locked="0"/>
    </xf>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3" fontId="33" fillId="12" borderId="0">
      <alignment horizontal="left"/>
    </xf>
    <xf numFmtId="0" fontId="3" fillId="0" borderId="0">
      <alignment vertical="top"/>
    </xf>
    <xf numFmtId="0" fontId="34" fillId="0" borderId="0"/>
    <xf numFmtId="0" fontId="34" fillId="0" borderId="0"/>
    <xf numFmtId="0" fontId="34" fillId="0" borderId="0"/>
    <xf numFmtId="0" fontId="34" fillId="0" borderId="0"/>
    <xf numFmtId="3" fontId="35" fillId="12" borderId="0">
      <alignment horizontal="center"/>
    </xf>
    <xf numFmtId="3" fontId="36" fillId="12" borderId="0">
      <alignment horizontal="left"/>
    </xf>
    <xf numFmtId="3" fontId="7" fillId="13" borderId="0">
      <alignment horizontal="right"/>
    </xf>
    <xf numFmtId="37" fontId="17" fillId="9" borderId="0" applyNumberFormat="0" applyBorder="0" applyAlignment="0" applyProtection="0"/>
    <xf numFmtId="37" fontId="17" fillId="0" borderId="0"/>
    <xf numFmtId="37" fontId="17" fillId="9" borderId="0" applyNumberFormat="0" applyBorder="0" applyAlignment="0" applyProtection="0"/>
    <xf numFmtId="3" fontId="37" fillId="0" borderId="9" applyProtection="0"/>
    <xf numFmtId="185" fontId="12" fillId="0" borderId="0">
      <protection locked="0"/>
    </xf>
    <xf numFmtId="186" fontId="12" fillId="0" borderId="0">
      <protection locked="0"/>
    </xf>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53" fillId="34" borderId="19" applyNumberFormat="0" applyAlignment="0" applyProtection="0"/>
    <xf numFmtId="0" fontId="53" fillId="34" borderId="19" applyNumberFormat="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2" borderId="0" applyNumberFormat="0" applyBorder="0" applyAlignment="0" applyProtection="0"/>
    <xf numFmtId="0" fontId="51" fillId="25"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2"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6"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3" borderId="0" applyNumberFormat="0" applyBorder="0" applyAlignment="0" applyProtection="0"/>
    <xf numFmtId="0" fontId="54" fillId="17" borderId="0" applyNumberFormat="0" applyBorder="0" applyAlignment="0" applyProtection="0"/>
    <xf numFmtId="0" fontId="53" fillId="34" borderId="13" applyNumberFormat="0" applyAlignment="0" applyProtection="0"/>
    <xf numFmtId="0" fontId="53" fillId="34" borderId="13" applyNumberFormat="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3" borderId="0" applyNumberFormat="0" applyBorder="0" applyAlignment="0" applyProtection="0"/>
    <xf numFmtId="0" fontId="4" fillId="0" borderId="0">
      <alignment vertical="center"/>
    </xf>
    <xf numFmtId="0" fontId="55"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8" fillId="0" borderId="14" applyNumberFormat="0" applyFill="0" applyAlignment="0" applyProtection="0"/>
    <xf numFmtId="0" fontId="48" fillId="0" borderId="0" applyNumberFormat="0" applyFill="0" applyBorder="0" applyAlignment="0" applyProtection="0"/>
    <xf numFmtId="0" fontId="54" fillId="17" borderId="0" applyNumberFormat="0" applyBorder="0" applyAlignment="0" applyProtection="0"/>
    <xf numFmtId="0" fontId="50" fillId="34" borderId="15" applyNumberFormat="0" applyAlignment="0" applyProtection="0"/>
    <xf numFmtId="9" fontId="2" fillId="0" borderId="0" applyFont="0" applyFill="0" applyBorder="0" applyAlignment="0" applyProtection="0"/>
    <xf numFmtId="0" fontId="50" fillId="34" borderId="15" applyNumberFormat="0" applyAlignment="0" applyProtection="0"/>
    <xf numFmtId="166" fontId="4" fillId="0" borderId="0">
      <alignment vertical="center"/>
    </xf>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16" applyNumberFormat="0" applyFill="0" applyAlignment="0" applyProtection="0"/>
    <xf numFmtId="0" fontId="56" fillId="0" borderId="17"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0" fontId="49" fillId="0" borderId="18" applyNumberFormat="0" applyFill="0" applyAlignment="0" applyProtection="0"/>
    <xf numFmtId="0" fontId="2" fillId="0" borderId="0"/>
    <xf numFmtId="165" fontId="2" fillId="0" borderId="0" applyFont="0" applyFill="0" applyBorder="0" applyAlignment="0" applyProtection="0"/>
    <xf numFmtId="0" fontId="2" fillId="6" borderId="20" applyNumberFormat="0" applyFont="0" applyBorder="0" applyAlignment="0" applyProtection="0"/>
    <xf numFmtId="0" fontId="50" fillId="34" borderId="21" applyNumberFormat="0" applyAlignment="0" applyProtection="0"/>
    <xf numFmtId="9" fontId="2" fillId="0" borderId="0" applyFont="0" applyFill="0" applyBorder="0" applyAlignment="0" applyProtection="0"/>
    <xf numFmtId="0" fontId="50" fillId="34" borderId="21" applyNumberFormat="0" applyAlignment="0" applyProtection="0"/>
    <xf numFmtId="0" fontId="49" fillId="0" borderId="22" applyNumberFormat="0" applyFill="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 fontId="25" fillId="3" borderId="25">
      <alignment horizontal="center"/>
    </xf>
    <xf numFmtId="0" fontId="59" fillId="0" borderId="0">
      <protection locked="0"/>
    </xf>
    <xf numFmtId="0" fontId="59" fillId="0" borderId="0">
      <protection locked="0"/>
    </xf>
    <xf numFmtId="43" fontId="2" fillId="9" borderId="0" applyNumberFormat="0" applyFont="0" applyBorder="0" applyAlignment="0" applyProtection="0"/>
    <xf numFmtId="0" fontId="59" fillId="0" borderId="0">
      <protection locked="0"/>
    </xf>
    <xf numFmtId="175" fontId="59" fillId="0" borderId="0">
      <protection locked="0"/>
    </xf>
    <xf numFmtId="0" fontId="22" fillId="0" borderId="24">
      <alignment horizontal="left" vertical="center"/>
    </xf>
    <xf numFmtId="178" fontId="59" fillId="0" borderId="0">
      <protection locked="0"/>
    </xf>
    <xf numFmtId="3" fontId="25" fillId="3" borderId="23">
      <alignment horizont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60" fillId="0" borderId="0">
      <protection locked="0"/>
    </xf>
    <xf numFmtId="43" fontId="2" fillId="0" borderId="0" applyFont="0" applyFill="0" applyBorder="0" applyAlignment="0" applyProtection="0"/>
    <xf numFmtId="43" fontId="2" fillId="0" borderId="0" applyFont="0" applyFill="0" applyBorder="0" applyAlignment="0" applyProtection="0"/>
    <xf numFmtId="0" fontId="2" fillId="0" borderId="0"/>
    <xf numFmtId="185" fontId="59" fillId="0" borderId="0">
      <protection locked="0"/>
    </xf>
    <xf numFmtId="186" fontId="59" fillId="0" borderId="0">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3" fontId="25" fillId="3" borderId="26">
      <alignment horizontal="center"/>
    </xf>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6" borderId="28" applyNumberFormat="0" applyFont="0" applyBorder="0" applyAlignment="0" applyProtection="0"/>
    <xf numFmtId="0" fontId="22" fillId="0" borderId="27">
      <alignment horizontal="left" vertical="center"/>
    </xf>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53" fillId="34" borderId="29" applyNumberFormat="0" applyAlignment="0" applyProtection="0"/>
    <xf numFmtId="0" fontId="53" fillId="34" borderId="29" applyNumberFormat="0" applyAlignment="0" applyProtection="0"/>
    <xf numFmtId="0" fontId="53" fillId="34" borderId="29" applyNumberFormat="0" applyAlignment="0" applyProtection="0"/>
    <xf numFmtId="0" fontId="53" fillId="34" borderId="29" applyNumberFormat="0" applyAlignment="0" applyProtection="0"/>
    <xf numFmtId="0" fontId="50" fillId="34" borderId="30" applyNumberFormat="0" applyAlignment="0" applyProtection="0"/>
    <xf numFmtId="0" fontId="50" fillId="34" borderId="30" applyNumberFormat="0" applyAlignment="0" applyProtection="0"/>
    <xf numFmtId="0" fontId="49" fillId="0" borderId="31" applyNumberFormat="0" applyFill="0" applyAlignment="0" applyProtection="0"/>
    <xf numFmtId="43" fontId="2" fillId="0" borderId="0" applyFont="0" applyFill="0" applyBorder="0" applyAlignment="0" applyProtection="0"/>
    <xf numFmtId="0" fontId="2" fillId="6" borderId="28" applyNumberFormat="0" applyFont="0" applyBorder="0" applyAlignment="0" applyProtection="0"/>
    <xf numFmtId="0" fontId="50" fillId="34" borderId="30" applyNumberFormat="0" applyAlignment="0" applyProtection="0"/>
    <xf numFmtId="0" fontId="50" fillId="34" borderId="30" applyNumberFormat="0" applyAlignment="0" applyProtection="0"/>
    <xf numFmtId="0" fontId="49" fillId="0" borderId="3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0"/>
    <xf numFmtId="43" fontId="1" fillId="0" borderId="0" applyFont="0" applyFill="0" applyBorder="0" applyAlignment="0" applyProtection="0"/>
    <xf numFmtId="0" fontId="63" fillId="0" borderId="0" applyNumberFormat="0" applyFill="0" applyBorder="0" applyAlignment="0" applyProtection="0"/>
    <xf numFmtId="43" fontId="1" fillId="0" borderId="0" applyFont="0" applyFill="0" applyBorder="0" applyAlignment="0" applyProtection="0"/>
    <xf numFmtId="0" fontId="2" fillId="0" borderId="0"/>
    <xf numFmtId="43" fontId="51" fillId="0" borderId="0" applyFont="0" applyFill="0" applyBorder="0" applyAlignment="0" applyProtection="0"/>
    <xf numFmtId="43" fontId="2" fillId="0" borderId="0" applyFont="0" applyFill="0" applyBorder="0" applyAlignment="0" applyProtection="0"/>
    <xf numFmtId="0" fontId="64" fillId="0" borderId="0"/>
    <xf numFmtId="9" fontId="64" fillId="0" borderId="0" applyFont="0" applyFill="0" applyBorder="0" applyAlignment="0" applyProtection="0"/>
    <xf numFmtId="43" fontId="64" fillId="0" borderId="0" applyFont="0" applyFill="0" applyBorder="0" applyAlignment="0" applyProtection="0"/>
    <xf numFmtId="0" fontId="1" fillId="0" borderId="0"/>
    <xf numFmtId="0" fontId="2" fillId="0" borderId="0"/>
    <xf numFmtId="188" fontId="2" fillId="0" borderId="0"/>
    <xf numFmtId="0" fontId="1" fillId="0" borderId="0"/>
    <xf numFmtId="43" fontId="1" fillId="0" borderId="0" applyFont="0" applyFill="0" applyBorder="0" applyAlignment="0" applyProtection="0"/>
    <xf numFmtId="0" fontId="1" fillId="0" borderId="0"/>
    <xf numFmtId="0" fontId="12" fillId="0" borderId="0">
      <protection locked="0"/>
    </xf>
    <xf numFmtId="0" fontId="1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9" borderId="0" applyNumberFormat="0" applyFont="0" applyBorder="0" applyAlignment="0" applyProtection="0"/>
    <xf numFmtId="44" fontId="1" fillId="0" borderId="0" applyFont="0" applyFill="0" applyBorder="0" applyAlignment="0" applyProtection="0"/>
    <xf numFmtId="0" fontId="12" fillId="0" borderId="0">
      <protection locked="0"/>
    </xf>
    <xf numFmtId="175" fontId="12" fillId="0" borderId="0">
      <protection locked="0"/>
    </xf>
    <xf numFmtId="0" fontId="22" fillId="0" borderId="27">
      <alignment horizontal="left" vertical="center"/>
    </xf>
    <xf numFmtId="178" fontId="12" fillId="0" borderId="0">
      <protection locked="0"/>
    </xf>
    <xf numFmtId="3" fontId="25" fillId="3" borderId="11">
      <alignment horizontal="center"/>
    </xf>
    <xf numFmtId="3" fontId="25" fillId="3" borderId="11">
      <alignment horizontal="center"/>
    </xf>
    <xf numFmtId="3" fontId="25" fillId="3" borderId="11">
      <alignment horizontal="center"/>
    </xf>
    <xf numFmtId="0" fontId="2" fillId="0" borderId="0"/>
    <xf numFmtId="184" fontId="3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12" fillId="0" borderId="0">
      <protection locked="0"/>
    </xf>
    <xf numFmtId="186" fontId="12" fillId="0" borderId="0">
      <protection locked="0"/>
    </xf>
    <xf numFmtId="43" fontId="2" fillId="0" borderId="0" applyFont="0" applyFill="0" applyBorder="0" applyAlignment="0" applyProtection="0"/>
    <xf numFmtId="43" fontId="1" fillId="0" borderId="0" applyFont="0" applyFill="0" applyBorder="0" applyAlignment="0" applyProtection="0"/>
    <xf numFmtId="9" fontId="51" fillId="0" borderId="0" applyFont="0" applyFill="0" applyBorder="0" applyAlignment="0" applyProtection="0"/>
    <xf numFmtId="44" fontId="1" fillId="0" borderId="0" applyFont="0" applyFill="0" applyBorder="0" applyAlignment="0" applyProtection="0"/>
    <xf numFmtId="0" fontId="74" fillId="0" borderId="0"/>
    <xf numFmtId="0" fontId="63" fillId="0" borderId="0" applyNumberFormat="0" applyFill="0" applyBorder="0" applyAlignment="0" applyProtection="0"/>
  </cellStyleXfs>
  <cellXfs count="546">
    <xf numFmtId="0" fontId="0" fillId="0" borderId="0" xfId="0"/>
    <xf numFmtId="0" fontId="2" fillId="0" borderId="0" xfId="4"/>
    <xf numFmtId="0" fontId="2" fillId="0" borderId="0" xfId="275"/>
    <xf numFmtId="0" fontId="41" fillId="0" borderId="0" xfId="0" applyFont="1" applyAlignment="1">
      <alignment vertical="center"/>
    </xf>
    <xf numFmtId="0" fontId="41" fillId="0" borderId="0" xfId="0" applyFont="1" applyAlignment="1">
      <alignment horizontal="center" vertical="center"/>
    </xf>
    <xf numFmtId="0" fontId="41" fillId="2" borderId="0" xfId="0" applyFont="1" applyFill="1" applyAlignment="1">
      <alignment vertical="center"/>
    </xf>
    <xf numFmtId="0" fontId="2" fillId="0" borderId="0" xfId="275" applyAlignment="1">
      <alignment vertical="center"/>
    </xf>
    <xf numFmtId="0" fontId="2" fillId="0" borderId="0" xfId="4" applyAlignment="1">
      <alignment vertical="center"/>
    </xf>
    <xf numFmtId="10" fontId="45" fillId="0" borderId="0" xfId="317" applyNumberFormat="1" applyFont="1"/>
    <xf numFmtId="0" fontId="44" fillId="2" borderId="0" xfId="278" applyFont="1" applyFill="1" applyAlignment="1">
      <alignment horizontal="centerContinuous"/>
    </xf>
    <xf numFmtId="0" fontId="2" fillId="0" borderId="0" xfId="316"/>
    <xf numFmtId="0" fontId="41" fillId="0" borderId="0" xfId="0" applyFont="1" applyAlignment="1">
      <alignment horizontal="left" vertical="center"/>
    </xf>
    <xf numFmtId="0" fontId="39" fillId="2" borderId="0" xfId="0" applyFont="1" applyFill="1" applyAlignment="1">
      <alignment vertical="center"/>
    </xf>
    <xf numFmtId="0" fontId="43" fillId="0" borderId="0" xfId="0" applyFont="1" applyAlignment="1">
      <alignment vertical="center"/>
    </xf>
    <xf numFmtId="0" fontId="43" fillId="0" borderId="0" xfId="0" applyFont="1" applyAlignment="1">
      <alignment horizontal="center" vertical="center"/>
    </xf>
    <xf numFmtId="1" fontId="43" fillId="0" borderId="0" xfId="0" applyNumberFormat="1" applyFont="1" applyAlignment="1">
      <alignment vertical="center"/>
    </xf>
    <xf numFmtId="187" fontId="41" fillId="0" borderId="0" xfId="1" applyNumberFormat="1" applyFont="1" applyAlignment="1">
      <alignment vertical="center"/>
    </xf>
    <xf numFmtId="187" fontId="41" fillId="0" borderId="0" xfId="0" applyNumberFormat="1" applyFont="1" applyAlignment="1">
      <alignment vertical="center"/>
    </xf>
    <xf numFmtId="0" fontId="43" fillId="0" borderId="0" xfId="0" applyFont="1" applyAlignment="1">
      <alignment horizontal="left" vertical="center"/>
    </xf>
    <xf numFmtId="187" fontId="43" fillId="0" borderId="0" xfId="0" applyNumberFormat="1" applyFont="1" applyAlignment="1">
      <alignment vertical="center"/>
    </xf>
    <xf numFmtId="0" fontId="2" fillId="0" borderId="0" xfId="4" applyAlignment="1">
      <alignment horizontal="left" vertical="center"/>
    </xf>
    <xf numFmtId="0" fontId="40" fillId="0" borderId="0" xfId="278" applyFont="1" applyAlignment="1">
      <alignment horizontal="center" vertical="center"/>
    </xf>
    <xf numFmtId="167" fontId="8" fillId="0" borderId="0" xfId="279" applyFont="1" applyAlignment="1">
      <alignment horizontal="center" vertical="center"/>
    </xf>
    <xf numFmtId="0" fontId="8" fillId="0" borderId="0" xfId="4" applyFont="1" applyAlignment="1">
      <alignment vertical="center"/>
    </xf>
    <xf numFmtId="167" fontId="65" fillId="15" borderId="0" xfId="279" applyFont="1" applyFill="1" applyAlignment="1">
      <alignment horizontal="center" vertical="center" wrapText="1"/>
    </xf>
    <xf numFmtId="167" fontId="65" fillId="15" borderId="0" xfId="279" applyFont="1" applyFill="1" applyAlignment="1">
      <alignment horizontal="center" vertical="center"/>
    </xf>
    <xf numFmtId="0" fontId="61" fillId="0" borderId="0" xfId="316" applyFont="1" applyAlignment="1">
      <alignment vertical="center"/>
    </xf>
    <xf numFmtId="0" fontId="61" fillId="0" borderId="0" xfId="275" applyFont="1" applyAlignment="1">
      <alignment horizontal="left" vertical="center"/>
    </xf>
    <xf numFmtId="0" fontId="41" fillId="0" borderId="32" xfId="0" applyFont="1" applyBorder="1" applyAlignment="1">
      <alignment vertical="center"/>
    </xf>
    <xf numFmtId="0" fontId="43" fillId="15" borderId="33" xfId="0" applyFont="1" applyFill="1" applyBorder="1" applyAlignment="1">
      <alignment vertical="center"/>
    </xf>
    <xf numFmtId="187" fontId="43" fillId="15" borderId="33" xfId="0" applyNumberFormat="1" applyFont="1" applyFill="1" applyBorder="1" applyAlignment="1">
      <alignment vertical="center"/>
    </xf>
    <xf numFmtId="0" fontId="43" fillId="15" borderId="33" xfId="0" applyFont="1" applyFill="1" applyBorder="1" applyAlignment="1">
      <alignment horizontal="left" vertical="center"/>
    </xf>
    <xf numFmtId="0" fontId="22" fillId="0" borderId="0" xfId="0" applyFont="1" applyAlignment="1" applyProtection="1">
      <alignment horizontal="center" vertical="center"/>
      <protection locked="0"/>
    </xf>
    <xf numFmtId="0" fontId="68" fillId="14" borderId="0" xfId="0" applyFont="1" applyFill="1" applyAlignment="1">
      <alignment horizontal="left" vertical="center" wrapText="1" readingOrder="1"/>
    </xf>
    <xf numFmtId="43" fontId="68" fillId="14" borderId="0" xfId="1" applyFont="1" applyFill="1" applyAlignment="1">
      <alignment horizontal="right" vertical="center" wrapText="1" readingOrder="1"/>
    </xf>
    <xf numFmtId="0" fontId="65" fillId="15" borderId="0" xfId="275" applyFont="1" applyFill="1" applyAlignment="1">
      <alignment horizontal="center" vertical="center"/>
    </xf>
    <xf numFmtId="0" fontId="67" fillId="14" borderId="0" xfId="0" applyFont="1" applyFill="1" applyAlignment="1">
      <alignment horizontal="right" vertical="center" wrapText="1" readingOrder="1"/>
    </xf>
    <xf numFmtId="43" fontId="2" fillId="0" borderId="0" xfId="1" applyFont="1"/>
    <xf numFmtId="43" fontId="2" fillId="0" borderId="0" xfId="275" applyNumberFormat="1"/>
    <xf numFmtId="0" fontId="67" fillId="14" borderId="36" xfId="0" applyFont="1" applyFill="1" applyBorder="1" applyAlignment="1">
      <alignment horizontal="right" vertical="center" wrapText="1" readingOrder="1"/>
    </xf>
    <xf numFmtId="0" fontId="68" fillId="14" borderId="36" xfId="0" applyFont="1" applyFill="1" applyBorder="1" applyAlignment="1">
      <alignment horizontal="left" vertical="center" wrapText="1" readingOrder="1"/>
    </xf>
    <xf numFmtId="43" fontId="68" fillId="14" borderId="36" xfId="1" applyFont="1" applyFill="1" applyBorder="1" applyAlignment="1">
      <alignment horizontal="right" vertical="center" wrapText="1" readingOrder="1"/>
    </xf>
    <xf numFmtId="44" fontId="38" fillId="2" borderId="37" xfId="279" applyNumberFormat="1" applyFont="1" applyFill="1" applyBorder="1" applyAlignment="1">
      <alignment horizontal="right" vertical="center"/>
    </xf>
    <xf numFmtId="0" fontId="0" fillId="14" borderId="36" xfId="0" applyFill="1" applyBorder="1" applyAlignment="1">
      <alignment horizontal="right"/>
    </xf>
    <xf numFmtId="0" fontId="0" fillId="14" borderId="36" xfId="0" applyFill="1" applyBorder="1"/>
    <xf numFmtId="167" fontId="69" fillId="14" borderId="36" xfId="279" applyFont="1" applyFill="1" applyBorder="1" applyAlignment="1">
      <alignment horizontal="left" vertical="center" wrapText="1"/>
    </xf>
    <xf numFmtId="43" fontId="0" fillId="14" borderId="36" xfId="1" applyFont="1" applyFill="1" applyBorder="1"/>
    <xf numFmtId="43" fontId="1" fillId="14" borderId="36" xfId="1" applyFill="1" applyBorder="1"/>
    <xf numFmtId="0" fontId="72" fillId="35" borderId="0" xfId="0" applyFont="1" applyFill="1" applyAlignment="1">
      <alignment horizontal="left" vertical="top" wrapText="1"/>
    </xf>
    <xf numFmtId="17" fontId="69" fillId="14" borderId="36" xfId="279" applyNumberFormat="1" applyFont="1" applyFill="1" applyBorder="1" applyAlignment="1">
      <alignment horizontal="left" vertical="center" wrapText="1"/>
    </xf>
    <xf numFmtId="4" fontId="73" fillId="2" borderId="0" xfId="0" applyNumberFormat="1" applyFont="1" applyFill="1" applyAlignment="1">
      <alignment horizontal="center"/>
    </xf>
    <xf numFmtId="43" fontId="73" fillId="2" borderId="0" xfId="1" applyFont="1" applyFill="1" applyAlignment="1">
      <alignment horizontal="right"/>
    </xf>
    <xf numFmtId="0" fontId="2" fillId="0" borderId="36" xfId="316" applyBorder="1"/>
    <xf numFmtId="0" fontId="8" fillId="0" borderId="36" xfId="316" applyFont="1" applyBorder="1" applyAlignment="1">
      <alignment horizontal="center"/>
    </xf>
    <xf numFmtId="0" fontId="22" fillId="0" borderId="36" xfId="316" applyFont="1" applyBorder="1" applyAlignment="1">
      <alignment horizontal="center" vertical="center"/>
    </xf>
    <xf numFmtId="14" fontId="2" fillId="0" borderId="36" xfId="316" applyNumberFormat="1" applyBorder="1"/>
    <xf numFmtId="0" fontId="2" fillId="0" borderId="36" xfId="1" applyNumberFormat="1" applyFont="1" applyBorder="1" applyAlignment="1">
      <alignment horizontal="center"/>
    </xf>
    <xf numFmtId="43" fontId="2" fillId="0" borderId="36" xfId="1" applyFont="1" applyBorder="1"/>
    <xf numFmtId="43" fontId="42" fillId="0" borderId="36" xfId="1" applyFont="1" applyBorder="1" applyAlignment="1">
      <alignment horizontal="right"/>
    </xf>
    <xf numFmtId="10" fontId="2" fillId="0" borderId="43" xfId="3" applyNumberFormat="1" applyFont="1" applyBorder="1"/>
    <xf numFmtId="10" fontId="2" fillId="0" borderId="36" xfId="3" applyNumberFormat="1" applyFont="1" applyBorder="1" applyAlignment="1">
      <alignment horizontal="center"/>
    </xf>
    <xf numFmtId="0" fontId="8" fillId="0" borderId="48" xfId="316" applyFont="1" applyBorder="1" applyAlignment="1">
      <alignment horizontal="center"/>
    </xf>
    <xf numFmtId="14" fontId="2" fillId="0" borderId="36" xfId="316" applyNumberFormat="1" applyBorder="1" applyAlignment="1">
      <alignment horizontal="center"/>
    </xf>
    <xf numFmtId="0" fontId="2" fillId="0" borderId="36" xfId="3" applyNumberFormat="1" applyFont="1" applyBorder="1" applyAlignment="1">
      <alignment horizontal="center"/>
    </xf>
    <xf numFmtId="10" fontId="2" fillId="0" borderId="0" xfId="3" applyNumberFormat="1" applyFont="1"/>
    <xf numFmtId="0" fontId="0" fillId="14" borderId="0" xfId="0" applyFill="1"/>
    <xf numFmtId="167" fontId="71" fillId="14" borderId="0" xfId="279" applyFont="1" applyFill="1" applyAlignment="1">
      <alignment horizontal="center" vertical="center"/>
    </xf>
    <xf numFmtId="43" fontId="41" fillId="0" borderId="0" xfId="1" applyFont="1" applyAlignment="1">
      <alignment vertical="center"/>
    </xf>
    <xf numFmtId="43" fontId="2" fillId="0" borderId="0" xfId="316" applyNumberFormat="1"/>
    <xf numFmtId="17" fontId="2" fillId="0" borderId="0" xfId="4" applyNumberFormat="1" applyAlignment="1">
      <alignment vertical="center"/>
    </xf>
    <xf numFmtId="190" fontId="2" fillId="0" borderId="0" xfId="4" applyNumberFormat="1" applyAlignment="1">
      <alignment vertical="center"/>
    </xf>
    <xf numFmtId="0" fontId="0" fillId="0" borderId="0" xfId="0" applyAlignment="1">
      <alignment horizontal="center"/>
    </xf>
    <xf numFmtId="9" fontId="2" fillId="0" borderId="0" xfId="3" applyFont="1" applyAlignment="1">
      <alignment vertical="center"/>
    </xf>
    <xf numFmtId="191" fontId="2" fillId="0" borderId="0" xfId="1" applyNumberFormat="1" applyFont="1" applyAlignment="1">
      <alignment vertical="center"/>
    </xf>
    <xf numFmtId="43" fontId="0" fillId="0" borderId="0" xfId="1" applyFont="1"/>
    <xf numFmtId="43" fontId="0" fillId="0" borderId="0" xfId="0" applyNumberFormat="1"/>
    <xf numFmtId="0" fontId="8" fillId="0" borderId="0" xfId="4" applyFont="1"/>
    <xf numFmtId="0" fontId="73" fillId="2" borderId="51" xfId="0" applyFont="1" applyFill="1" applyBorder="1" applyAlignment="1">
      <alignment vertical="center" wrapText="1"/>
    </xf>
    <xf numFmtId="0" fontId="73" fillId="2" borderId="0" xfId="0" applyFont="1" applyFill="1" applyAlignment="1">
      <alignment vertical="center" wrapText="1"/>
    </xf>
    <xf numFmtId="0" fontId="0" fillId="14" borderId="0" xfId="0" applyFill="1" applyAlignment="1">
      <alignment horizontal="center"/>
    </xf>
    <xf numFmtId="0" fontId="0" fillId="0" borderId="36" xfId="0" applyBorder="1" applyAlignment="1">
      <alignment horizontal="center"/>
    </xf>
    <xf numFmtId="0" fontId="0" fillId="0" borderId="0" xfId="0" applyAlignment="1">
      <alignment wrapText="1"/>
    </xf>
    <xf numFmtId="0" fontId="2" fillId="0" borderId="50" xfId="540" applyFont="1" applyBorder="1" applyAlignment="1">
      <alignment horizontal="left" vertical="center" wrapText="1"/>
    </xf>
    <xf numFmtId="0" fontId="2" fillId="36" borderId="50" xfId="540" applyFont="1" applyFill="1" applyBorder="1" applyAlignment="1">
      <alignment horizontal="left" vertical="center" wrapText="1"/>
    </xf>
    <xf numFmtId="1" fontId="75" fillId="0" borderId="50" xfId="540" applyNumberFormat="1" applyFont="1" applyBorder="1" applyAlignment="1">
      <alignment horizontal="center" vertical="center" shrinkToFit="1"/>
    </xf>
    <xf numFmtId="1" fontId="75" fillId="36" borderId="50" xfId="540" applyNumberFormat="1" applyFont="1" applyFill="1" applyBorder="1" applyAlignment="1">
      <alignment horizontal="center" vertical="center" shrinkToFit="1"/>
    </xf>
    <xf numFmtId="1" fontId="75" fillId="36" borderId="50" xfId="540" applyNumberFormat="1" applyFont="1" applyFill="1" applyBorder="1" applyAlignment="1">
      <alignment horizontal="right" vertical="center" shrinkToFit="1"/>
    </xf>
    <xf numFmtId="1" fontId="77" fillId="0" borderId="50" xfId="540" applyNumberFormat="1" applyFont="1" applyBorder="1" applyAlignment="1">
      <alignment horizontal="center" vertical="center" shrinkToFit="1"/>
    </xf>
    <xf numFmtId="1" fontId="77" fillId="36" borderId="50" xfId="540" applyNumberFormat="1" applyFont="1" applyFill="1" applyBorder="1" applyAlignment="1">
      <alignment horizontal="center" vertical="center" shrinkToFit="1"/>
    </xf>
    <xf numFmtId="1" fontId="75" fillId="0" borderId="56" xfId="540" applyNumberFormat="1" applyFont="1" applyBorder="1" applyAlignment="1">
      <alignment horizontal="center" vertical="center" shrinkToFit="1"/>
    </xf>
    <xf numFmtId="1" fontId="75" fillId="36" borderId="56" xfId="540" applyNumberFormat="1" applyFont="1" applyFill="1" applyBorder="1" applyAlignment="1">
      <alignment horizontal="center" vertical="center" shrinkToFit="1"/>
    </xf>
    <xf numFmtId="1" fontId="78" fillId="0" borderId="50" xfId="540" applyNumberFormat="1" applyFont="1" applyBorder="1" applyAlignment="1">
      <alignment horizontal="center" vertical="center" shrinkToFit="1"/>
    </xf>
    <xf numFmtId="1" fontId="78" fillId="36" borderId="50" xfId="540" applyNumberFormat="1" applyFont="1" applyFill="1" applyBorder="1" applyAlignment="1">
      <alignment horizontal="center" vertical="center" shrinkToFit="1"/>
    </xf>
    <xf numFmtId="1" fontId="78" fillId="0" borderId="49" xfId="540" applyNumberFormat="1" applyFont="1" applyBorder="1" applyAlignment="1">
      <alignment horizontal="center" vertical="center" shrinkToFit="1"/>
    </xf>
    <xf numFmtId="0" fontId="2" fillId="0" borderId="49" xfId="540" applyFont="1" applyBorder="1" applyAlignment="1">
      <alignment horizontal="left" vertical="center" wrapText="1"/>
    </xf>
    <xf numFmtId="1" fontId="75" fillId="0" borderId="49" xfId="540" applyNumberFormat="1" applyFont="1" applyBorder="1" applyAlignment="1">
      <alignment horizontal="center" vertical="center" shrinkToFit="1"/>
    </xf>
    <xf numFmtId="1" fontId="75" fillId="36" borderId="56" xfId="540" applyNumberFormat="1" applyFont="1" applyFill="1" applyBorder="1" applyAlignment="1">
      <alignment horizontal="right" vertical="center" shrinkToFit="1"/>
    </xf>
    <xf numFmtId="1" fontId="75" fillId="0" borderId="36" xfId="540" applyNumberFormat="1" applyFont="1" applyBorder="1" applyAlignment="1">
      <alignment horizontal="center" vertical="center" shrinkToFit="1"/>
    </xf>
    <xf numFmtId="1" fontId="75" fillId="36" borderId="36" xfId="540" applyNumberFormat="1" applyFont="1" applyFill="1" applyBorder="1" applyAlignment="1">
      <alignment horizontal="center" vertical="center" shrinkToFit="1"/>
    </xf>
    <xf numFmtId="1" fontId="75" fillId="36" borderId="36" xfId="540" applyNumberFormat="1" applyFont="1" applyFill="1" applyBorder="1" applyAlignment="1">
      <alignment horizontal="right" vertical="center" shrinkToFit="1"/>
    </xf>
    <xf numFmtId="1" fontId="78" fillId="0" borderId="58" xfId="540" applyNumberFormat="1" applyFont="1" applyBorder="1" applyAlignment="1">
      <alignment horizontal="center" vertical="center" shrinkToFit="1"/>
    </xf>
    <xf numFmtId="0" fontId="2" fillId="0" borderId="58" xfId="540" applyFont="1" applyBorder="1" applyAlignment="1">
      <alignment horizontal="left" vertical="center" wrapText="1"/>
    </xf>
    <xf numFmtId="1" fontId="75" fillId="0" borderId="58" xfId="540" applyNumberFormat="1" applyFont="1" applyBorder="1" applyAlignment="1">
      <alignment horizontal="center" vertical="center" shrinkToFit="1"/>
    </xf>
    <xf numFmtId="1" fontId="75" fillId="0" borderId="59" xfId="540" applyNumberFormat="1" applyFont="1" applyBorder="1" applyAlignment="1">
      <alignment horizontal="center" vertical="center" shrinkToFit="1"/>
    </xf>
    <xf numFmtId="1" fontId="43" fillId="0" borderId="55" xfId="0" applyNumberFormat="1" applyFont="1" applyBorder="1" applyAlignment="1">
      <alignment horizontal="center" vertical="center"/>
    </xf>
    <xf numFmtId="0" fontId="43" fillId="0" borderId="55" xfId="0" applyFont="1" applyBorder="1" applyAlignment="1">
      <alignment horizontal="center" vertical="center" wrapText="1"/>
    </xf>
    <xf numFmtId="43" fontId="41" fillId="0" borderId="55" xfId="1" applyFont="1" applyBorder="1" applyAlignment="1">
      <alignment horizontal="center" vertical="center"/>
    </xf>
    <xf numFmtId="1" fontId="41" fillId="0" borderId="55" xfId="0" applyNumberFormat="1" applyFont="1" applyBorder="1" applyAlignment="1">
      <alignment horizontal="center" vertical="center"/>
    </xf>
    <xf numFmtId="167" fontId="39" fillId="2" borderId="26" xfId="279" applyFont="1" applyFill="1" applyBorder="1" applyAlignment="1">
      <alignment horizontal="center" vertical="center" wrapText="1"/>
    </xf>
    <xf numFmtId="167" fontId="39" fillId="2" borderId="47" xfId="279" applyFont="1" applyFill="1" applyBorder="1" applyAlignment="1">
      <alignment horizontal="center" vertical="center" wrapText="1"/>
    </xf>
    <xf numFmtId="0" fontId="8" fillId="0" borderId="35" xfId="0" applyFont="1" applyBorder="1" applyAlignment="1" applyProtection="1">
      <alignment horizontal="center" vertical="center"/>
      <protection locked="0"/>
    </xf>
    <xf numFmtId="167" fontId="2" fillId="14" borderId="36" xfId="279" applyFill="1" applyBorder="1" applyAlignment="1">
      <alignment horizontal="left" vertical="center" wrapText="1"/>
    </xf>
    <xf numFmtId="0" fontId="41" fillId="0" borderId="36" xfId="0" applyFont="1" applyBorder="1"/>
    <xf numFmtId="0" fontId="41" fillId="0" borderId="35" xfId="0" applyFont="1" applyBorder="1" applyAlignment="1">
      <alignment vertical="center"/>
    </xf>
    <xf numFmtId="0" fontId="41" fillId="0" borderId="43" xfId="0" applyFont="1" applyBorder="1" applyAlignment="1">
      <alignment vertical="center"/>
    </xf>
    <xf numFmtId="167" fontId="39" fillId="2" borderId="46" xfId="279" applyFont="1" applyFill="1" applyBorder="1" applyAlignment="1">
      <alignment horizontal="center" vertical="center"/>
    </xf>
    <xf numFmtId="0" fontId="8" fillId="14" borderId="35" xfId="0" applyFont="1" applyFill="1" applyBorder="1" applyAlignment="1" applyProtection="1">
      <alignment vertical="center"/>
      <protection locked="0"/>
    </xf>
    <xf numFmtId="43" fontId="43" fillId="0" borderId="43" xfId="1" applyFont="1" applyBorder="1"/>
    <xf numFmtId="0" fontId="41" fillId="14" borderId="36" xfId="0" applyFont="1" applyFill="1" applyBorder="1" applyAlignment="1">
      <alignment horizontal="center"/>
    </xf>
    <xf numFmtId="43" fontId="41" fillId="14" borderId="36" xfId="1" applyFont="1" applyFill="1" applyBorder="1"/>
    <xf numFmtId="43" fontId="43" fillId="14" borderId="43" xfId="1" applyFont="1" applyFill="1" applyBorder="1"/>
    <xf numFmtId="10" fontId="41" fillId="0" borderId="35" xfId="3" applyNumberFormat="1" applyFont="1" applyBorder="1" applyAlignment="1">
      <alignment horizontal="center" vertical="center" wrapText="1"/>
    </xf>
    <xf numFmtId="43" fontId="0" fillId="14" borderId="0" xfId="1" applyFont="1" applyFill="1"/>
    <xf numFmtId="167" fontId="69" fillId="0" borderId="0" xfId="279" applyFont="1" applyAlignment="1">
      <alignment horizontal="left" vertical="center" wrapText="1"/>
    </xf>
    <xf numFmtId="0" fontId="73" fillId="2" borderId="27" xfId="0" applyFont="1" applyFill="1" applyBorder="1" applyAlignment="1">
      <alignment horizontal="center" vertical="center"/>
    </xf>
    <xf numFmtId="4" fontId="73" fillId="2" borderId="27" xfId="0" applyNumberFormat="1" applyFont="1" applyFill="1" applyBorder="1" applyAlignment="1">
      <alignment horizontal="center"/>
    </xf>
    <xf numFmtId="0" fontId="0" fillId="0" borderId="0" xfId="0" applyAlignment="1">
      <alignment horizontal="right"/>
    </xf>
    <xf numFmtId="43" fontId="73" fillId="2" borderId="36" xfId="1" applyFont="1" applyFill="1" applyBorder="1" applyAlignment="1">
      <alignment horizontal="right"/>
    </xf>
    <xf numFmtId="1" fontId="43" fillId="0" borderId="0" xfId="0" applyNumberFormat="1" applyFont="1" applyAlignment="1">
      <alignment horizontal="center" vertical="center"/>
    </xf>
    <xf numFmtId="189" fontId="41" fillId="0" borderId="0" xfId="2" applyNumberFormat="1" applyFont="1" applyAlignment="1">
      <alignment horizontal="center" vertical="center"/>
    </xf>
    <xf numFmtId="187" fontId="41" fillId="0" borderId="0" xfId="0" applyNumberFormat="1" applyFont="1" applyAlignment="1">
      <alignment horizontal="center" vertical="center"/>
    </xf>
    <xf numFmtId="189" fontId="43" fillId="0" borderId="0" xfId="2" applyNumberFormat="1" applyFont="1" applyAlignment="1">
      <alignment horizontal="center" vertical="center"/>
    </xf>
    <xf numFmtId="0" fontId="70" fillId="2" borderId="0" xfId="0" applyFont="1" applyFill="1" applyAlignment="1">
      <alignment horizontal="center"/>
    </xf>
    <xf numFmtId="192" fontId="45" fillId="0" borderId="0" xfId="3" applyNumberFormat="1" applyFont="1"/>
    <xf numFmtId="192" fontId="2" fillId="0" borderId="53" xfId="3" applyNumberFormat="1" applyFont="1" applyBorder="1" applyAlignment="1">
      <alignment vertical="center"/>
    </xf>
    <xf numFmtId="0" fontId="0" fillId="14" borderId="36" xfId="0" applyFill="1" applyBorder="1" applyAlignment="1">
      <alignment horizontal="center"/>
    </xf>
    <xf numFmtId="192" fontId="41" fillId="0" borderId="0" xfId="3" applyNumberFormat="1" applyFont="1" applyAlignment="1">
      <alignment horizontal="right" vertical="center"/>
    </xf>
    <xf numFmtId="0" fontId="43" fillId="0" borderId="7"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38" borderId="60" xfId="0" applyFont="1" applyFill="1" applyBorder="1" applyAlignment="1">
      <alignment vertical="center"/>
    </xf>
    <xf numFmtId="0" fontId="43" fillId="38" borderId="7" xfId="0" applyFont="1" applyFill="1" applyBorder="1" applyAlignment="1">
      <alignment horizontal="center" vertical="center"/>
    </xf>
    <xf numFmtId="0" fontId="41" fillId="38" borderId="7" xfId="0" applyFont="1" applyFill="1" applyBorder="1" applyAlignment="1">
      <alignment vertical="center"/>
    </xf>
    <xf numFmtId="0" fontId="43" fillId="38" borderId="7" xfId="0" applyFont="1" applyFill="1" applyBorder="1" applyAlignment="1">
      <alignment horizontal="left" vertical="center"/>
    </xf>
    <xf numFmtId="0" fontId="43" fillId="38" borderId="61" xfId="0" applyFont="1" applyFill="1" applyBorder="1" applyAlignment="1">
      <alignment vertical="center"/>
    </xf>
    <xf numFmtId="187" fontId="41" fillId="0" borderId="0" xfId="0" applyNumberFormat="1" applyFont="1" applyAlignment="1">
      <alignment horizontal="left" vertical="center"/>
    </xf>
    <xf numFmtId="0" fontId="43" fillId="0" borderId="34" xfId="0" applyFont="1" applyBorder="1" applyAlignment="1">
      <alignment horizontal="left" vertical="center"/>
    </xf>
    <xf numFmtId="0" fontId="43" fillId="0" borderId="34" xfId="0" applyFont="1" applyBorder="1" applyAlignment="1">
      <alignment horizontal="center" vertical="center"/>
    </xf>
    <xf numFmtId="0" fontId="43" fillId="0" borderId="34" xfId="0" applyFont="1" applyBorder="1" applyAlignment="1">
      <alignment vertical="center"/>
    </xf>
    <xf numFmtId="192" fontId="41" fillId="0" borderId="0" xfId="3" applyNumberFormat="1" applyFont="1" applyAlignment="1">
      <alignment horizontal="left" vertical="top"/>
    </xf>
    <xf numFmtId="0" fontId="70" fillId="0" borderId="0" xfId="0" applyFont="1" applyAlignment="1">
      <alignment horizontal="center"/>
    </xf>
    <xf numFmtId="0" fontId="39" fillId="0" borderId="0" xfId="0" applyFont="1" applyAlignment="1">
      <alignment vertical="center"/>
    </xf>
    <xf numFmtId="0" fontId="0" fillId="0" borderId="0" xfId="0" applyBorder="1" applyAlignment="1"/>
    <xf numFmtId="43" fontId="41" fillId="14" borderId="36" xfId="0" applyNumberFormat="1" applyFont="1" applyFill="1" applyBorder="1"/>
    <xf numFmtId="0" fontId="2" fillId="0" borderId="0" xfId="316" applyBorder="1" applyAlignment="1">
      <alignment vertical="center"/>
    </xf>
    <xf numFmtId="0" fontId="2" fillId="14" borderId="36" xfId="3" applyNumberFormat="1" applyFont="1" applyFill="1" applyBorder="1" applyAlignment="1">
      <alignment horizontal="center"/>
    </xf>
    <xf numFmtId="10" fontId="2" fillId="14" borderId="36" xfId="3" applyNumberFormat="1" applyFont="1" applyFill="1" applyBorder="1" applyAlignment="1">
      <alignment horizontal="center"/>
    </xf>
    <xf numFmtId="0" fontId="43" fillId="14" borderId="0" xfId="0" applyFont="1" applyFill="1" applyBorder="1" applyAlignment="1">
      <alignment vertical="center" wrapText="1"/>
    </xf>
    <xf numFmtId="0" fontId="2" fillId="0" borderId="39" xfId="316" applyBorder="1"/>
    <xf numFmtId="43" fontId="41" fillId="14" borderId="48" xfId="1" applyFont="1" applyFill="1" applyBorder="1" applyAlignment="1">
      <alignment horizontal="center" wrapText="1"/>
    </xf>
    <xf numFmtId="0" fontId="68" fillId="14" borderId="36" xfId="0" applyFont="1" applyFill="1" applyBorder="1" applyAlignment="1">
      <alignment horizontal="right" vertical="center" wrapText="1" readingOrder="1"/>
    </xf>
    <xf numFmtId="0" fontId="75" fillId="14" borderId="36" xfId="0" applyFont="1" applyFill="1" applyBorder="1" applyAlignment="1">
      <alignment horizontal="left" vertical="center" wrapText="1" readingOrder="1"/>
    </xf>
    <xf numFmtId="0" fontId="2" fillId="0" borderId="0" xfId="316" applyBorder="1"/>
    <xf numFmtId="0" fontId="2" fillId="0" borderId="0" xfId="316" applyBorder="1" applyAlignment="1">
      <alignment horizontal="center"/>
    </xf>
    <xf numFmtId="0" fontId="2" fillId="0" borderId="0" xfId="316" applyBorder="1" applyAlignment="1">
      <alignment horizontal="left"/>
    </xf>
    <xf numFmtId="43" fontId="2" fillId="0" borderId="36" xfId="1" applyFont="1" applyBorder="1" applyAlignment="1">
      <alignment horizontal="center"/>
    </xf>
    <xf numFmtId="43" fontId="8" fillId="0" borderId="36" xfId="316" applyNumberFormat="1" applyFont="1" applyBorder="1"/>
    <xf numFmtId="192" fontId="2" fillId="0" borderId="0" xfId="3" applyNumberFormat="1" applyFont="1" applyBorder="1"/>
    <xf numFmtId="0" fontId="2" fillId="0" borderId="38" xfId="275" applyBorder="1"/>
    <xf numFmtId="0" fontId="2" fillId="0" borderId="40" xfId="316" applyBorder="1"/>
    <xf numFmtId="0" fontId="2" fillId="0" borderId="62" xfId="275" applyBorder="1"/>
    <xf numFmtId="0" fontId="2" fillId="0" borderId="63" xfId="316" applyBorder="1"/>
    <xf numFmtId="14" fontId="2" fillId="0" borderId="63" xfId="316" applyNumberFormat="1" applyBorder="1"/>
    <xf numFmtId="0" fontId="2" fillId="0" borderId="41" xfId="275" applyBorder="1"/>
    <xf numFmtId="0" fontId="2" fillId="0" borderId="34" xfId="316" applyBorder="1"/>
    <xf numFmtId="0" fontId="2" fillId="0" borderId="42" xfId="316" applyBorder="1"/>
    <xf numFmtId="43" fontId="0" fillId="14" borderId="0" xfId="0" applyNumberFormat="1" applyFill="1"/>
    <xf numFmtId="1" fontId="78" fillId="14" borderId="50" xfId="540" applyNumberFormat="1" applyFont="1" applyFill="1" applyBorder="1" applyAlignment="1">
      <alignment horizontal="center" vertical="center" shrinkToFit="1"/>
    </xf>
    <xf numFmtId="0" fontId="2" fillId="14" borderId="50" xfId="540" applyFont="1" applyFill="1" applyBorder="1" applyAlignment="1">
      <alignment horizontal="left" vertical="center" wrapText="1"/>
    </xf>
    <xf numFmtId="1" fontId="75" fillId="14" borderId="50" xfId="540" applyNumberFormat="1" applyFont="1" applyFill="1" applyBorder="1" applyAlignment="1">
      <alignment horizontal="center" vertical="center" shrinkToFit="1"/>
    </xf>
    <xf numFmtId="1" fontId="75" fillId="14" borderId="49" xfId="540" applyNumberFormat="1" applyFont="1" applyFill="1" applyBorder="1" applyAlignment="1">
      <alignment horizontal="center" vertical="center" shrinkToFit="1"/>
    </xf>
    <xf numFmtId="43" fontId="41" fillId="14" borderId="36" xfId="1" applyFont="1" applyFill="1" applyBorder="1" applyAlignment="1">
      <alignment horizontal="center" wrapText="1"/>
    </xf>
    <xf numFmtId="43" fontId="2" fillId="0" borderId="36" xfId="1" applyFont="1" applyFill="1" applyBorder="1"/>
    <xf numFmtId="187" fontId="2" fillId="15" borderId="0" xfId="1" applyNumberFormat="1" applyFont="1" applyFill="1" applyAlignment="1">
      <alignment vertical="center"/>
    </xf>
    <xf numFmtId="0" fontId="2" fillId="0" borderId="0" xfId="4" applyAlignment="1">
      <alignment vertical="center" wrapText="1"/>
    </xf>
    <xf numFmtId="0" fontId="63" fillId="0" borderId="0" xfId="541"/>
    <xf numFmtId="187" fontId="8" fillId="0" borderId="0" xfId="1" applyNumberFormat="1" applyFont="1"/>
    <xf numFmtId="187" fontId="2" fillId="14" borderId="0" xfId="1" applyNumberFormat="1" applyFont="1" applyFill="1"/>
    <xf numFmtId="187" fontId="2" fillId="0" borderId="0" xfId="1" applyNumberFormat="1" applyFont="1"/>
    <xf numFmtId="187" fontId="2" fillId="0" borderId="0" xfId="1" applyNumberFormat="1" applyFont="1" applyAlignment="1">
      <alignment horizontal="center"/>
    </xf>
    <xf numFmtId="189" fontId="41" fillId="0" borderId="0" xfId="2" applyNumberFormat="1" applyFont="1" applyAlignment="1">
      <alignment horizontal="left" vertical="center"/>
    </xf>
    <xf numFmtId="189" fontId="43" fillId="0" borderId="34" xfId="2" applyNumberFormat="1" applyFont="1" applyBorder="1" applyAlignment="1">
      <alignment horizontal="center" vertical="center"/>
    </xf>
    <xf numFmtId="43" fontId="2" fillId="0" borderId="36" xfId="316" applyNumberFormat="1" applyBorder="1"/>
    <xf numFmtId="189" fontId="43" fillId="0" borderId="0" xfId="2" applyNumberFormat="1" applyFont="1" applyAlignment="1">
      <alignment horizontal="left" vertical="center"/>
    </xf>
    <xf numFmtId="189" fontId="43" fillId="15" borderId="33" xfId="2" applyNumberFormat="1" applyFont="1" applyFill="1" applyBorder="1" applyAlignment="1">
      <alignment horizontal="left" vertical="center"/>
    </xf>
    <xf numFmtId="189" fontId="41" fillId="0" borderId="0" xfId="0" applyNumberFormat="1" applyFont="1" applyAlignment="1">
      <alignment horizontal="center" vertical="center"/>
    </xf>
    <xf numFmtId="189" fontId="43" fillId="38" borderId="7" xfId="0" applyNumberFormat="1" applyFont="1" applyFill="1" applyBorder="1" applyAlignment="1">
      <alignment horizontal="center" vertical="center"/>
    </xf>
    <xf numFmtId="189" fontId="43" fillId="0" borderId="0" xfId="0" applyNumberFormat="1" applyFont="1" applyAlignment="1">
      <alignment horizontal="center" vertical="center"/>
    </xf>
    <xf numFmtId="9" fontId="2" fillId="14" borderId="0" xfId="3" applyFont="1" applyFill="1"/>
    <xf numFmtId="167" fontId="82" fillId="14" borderId="0" xfId="279" applyFont="1" applyFill="1" applyAlignment="1">
      <alignment horizontal="center" vertical="center"/>
    </xf>
    <xf numFmtId="9" fontId="2" fillId="0" borderId="0" xfId="3" applyFont="1"/>
    <xf numFmtId="9" fontId="2" fillId="0" borderId="0" xfId="316" applyNumberFormat="1"/>
    <xf numFmtId="0" fontId="0" fillId="0" borderId="51" xfId="0" applyBorder="1" applyAlignment="1">
      <alignment horizontal="left"/>
    </xf>
    <xf numFmtId="0" fontId="0" fillId="0" borderId="0" xfId="0" applyAlignment="1">
      <alignment horizontal="left"/>
    </xf>
    <xf numFmtId="0" fontId="0" fillId="0" borderId="51" xfId="0" applyBorder="1" applyAlignment="1">
      <alignment horizontal="left" vertical="center"/>
    </xf>
    <xf numFmtId="9" fontId="0" fillId="0" borderId="0" xfId="3" applyFont="1" applyAlignment="1">
      <alignment horizontal="left"/>
    </xf>
    <xf numFmtId="43" fontId="2" fillId="0" borderId="0" xfId="1" applyFont="1" applyBorder="1"/>
    <xf numFmtId="0" fontId="2" fillId="14" borderId="0" xfId="275" applyFill="1"/>
    <xf numFmtId="14" fontId="2" fillId="14" borderId="36" xfId="316" applyNumberFormat="1" applyFill="1" applyBorder="1"/>
    <xf numFmtId="0" fontId="2" fillId="14" borderId="36" xfId="1" applyNumberFormat="1" applyFont="1" applyFill="1" applyBorder="1" applyAlignment="1">
      <alignment horizontal="center"/>
    </xf>
    <xf numFmtId="0" fontId="2" fillId="14" borderId="0" xfId="316" applyFill="1"/>
    <xf numFmtId="0" fontId="39" fillId="2" borderId="0" xfId="275" applyFont="1" applyFill="1" applyBorder="1" applyAlignment="1">
      <alignment vertical="center"/>
    </xf>
    <xf numFmtId="2" fontId="66" fillId="2" borderId="0" xfId="3" applyNumberFormat="1" applyFont="1" applyFill="1" applyBorder="1" applyAlignment="1">
      <alignment vertical="center"/>
    </xf>
    <xf numFmtId="0" fontId="39" fillId="14" borderId="0" xfId="275" applyFont="1" applyFill="1" applyBorder="1" applyAlignment="1">
      <alignment vertical="center"/>
    </xf>
    <xf numFmtId="2" fontId="66" fillId="14" borderId="0" xfId="3" applyNumberFormat="1" applyFont="1" applyFill="1" applyBorder="1" applyAlignment="1">
      <alignment vertical="center"/>
    </xf>
    <xf numFmtId="9" fontId="66" fillId="2" borderId="0" xfId="3" applyFont="1" applyFill="1" applyBorder="1" applyAlignment="1">
      <alignment vertical="center"/>
    </xf>
    <xf numFmtId="189" fontId="41" fillId="0" borderId="0" xfId="0" applyNumberFormat="1" applyFont="1" applyAlignment="1">
      <alignment vertical="center"/>
    </xf>
    <xf numFmtId="0" fontId="2" fillId="0" borderId="36" xfId="275" applyBorder="1"/>
    <xf numFmtId="43" fontId="2" fillId="0" borderId="36" xfId="275" applyNumberFormat="1" applyBorder="1"/>
    <xf numFmtId="0" fontId="2" fillId="0" borderId="0" xfId="275" applyAlignment="1">
      <alignment vertical="center" wrapText="1"/>
    </xf>
    <xf numFmtId="0" fontId="0" fillId="0" borderId="0" xfId="0" applyAlignment="1">
      <alignment vertical="center" wrapText="1"/>
    </xf>
    <xf numFmtId="43" fontId="8" fillId="0" borderId="0" xfId="1" applyFont="1"/>
    <xf numFmtId="10" fontId="8" fillId="0" borderId="0" xfId="3" applyNumberFormat="1" applyFont="1" applyFill="1" applyBorder="1"/>
    <xf numFmtId="0" fontId="8" fillId="0" borderId="0" xfId="275" applyFont="1" applyBorder="1"/>
    <xf numFmtId="43" fontId="8" fillId="0" borderId="0" xfId="275" applyNumberFormat="1" applyFont="1" applyBorder="1"/>
    <xf numFmtId="4" fontId="85" fillId="0" borderId="0" xfId="0" applyNumberFormat="1" applyFont="1"/>
    <xf numFmtId="4" fontId="84" fillId="0" borderId="64" xfId="0" applyNumberFormat="1" applyFont="1" applyBorder="1" applyAlignment="1">
      <alignment horizontal="center" wrapText="1"/>
    </xf>
    <xf numFmtId="0" fontId="41" fillId="0" borderId="0" xfId="0" applyFont="1"/>
    <xf numFmtId="0" fontId="75" fillId="0" borderId="36" xfId="0" applyFont="1" applyBorder="1" applyAlignment="1">
      <alignment horizontal="center" vertical="center" wrapText="1"/>
    </xf>
    <xf numFmtId="4" fontId="75" fillId="0" borderId="36" xfId="0" applyNumberFormat="1" applyFont="1" applyBorder="1" applyAlignment="1">
      <alignment horizontal="center" vertical="center" wrapText="1"/>
    </xf>
    <xf numFmtId="193" fontId="43" fillId="0" borderId="36" xfId="0" applyNumberFormat="1" applyFont="1" applyBorder="1" applyAlignment="1">
      <alignment horizontal="center"/>
    </xf>
    <xf numFmtId="0" fontId="86" fillId="0" borderId="0" xfId="0" applyFont="1"/>
    <xf numFmtId="0" fontId="75" fillId="0" borderId="0" xfId="0" applyFont="1" applyBorder="1" applyAlignment="1">
      <alignment horizontal="center" vertical="center" wrapText="1"/>
    </xf>
    <xf numFmtId="4" fontId="75" fillId="0" borderId="0" xfId="0" applyNumberFormat="1" applyFont="1" applyBorder="1" applyAlignment="1">
      <alignment horizontal="center" vertical="center" wrapText="1"/>
    </xf>
    <xf numFmtId="0" fontId="41" fillId="0" borderId="55" xfId="0" applyFont="1" applyBorder="1"/>
    <xf numFmtId="0" fontId="41" fillId="14" borderId="55" xfId="0" applyFont="1" applyFill="1" applyBorder="1" applyAlignment="1">
      <alignment horizontal="center" vertical="center"/>
    </xf>
    <xf numFmtId="0" fontId="41" fillId="0" borderId="36" xfId="0" applyFont="1" applyBorder="1" applyAlignment="1">
      <alignment horizontal="center"/>
    </xf>
    <xf numFmtId="44" fontId="41" fillId="0" borderId="36" xfId="0" applyNumberFormat="1" applyFont="1" applyBorder="1"/>
    <xf numFmtId="44" fontId="41" fillId="14" borderId="36" xfId="0" applyNumberFormat="1" applyFont="1" applyFill="1" applyBorder="1"/>
    <xf numFmtId="0" fontId="75" fillId="0" borderId="0" xfId="0" applyFont="1"/>
    <xf numFmtId="9" fontId="41" fillId="0" borderId="0" xfId="3" applyFont="1"/>
    <xf numFmtId="0" fontId="2" fillId="0" borderId="0" xfId="275" applyAlignment="1"/>
    <xf numFmtId="194" fontId="0" fillId="14" borderId="36" xfId="1" applyNumberFormat="1" applyFont="1" applyFill="1" applyBorder="1"/>
    <xf numFmtId="194" fontId="2" fillId="14" borderId="0" xfId="1" applyNumberFormat="1" applyFont="1" applyFill="1"/>
    <xf numFmtId="195" fontId="75" fillId="0" borderId="36" xfId="0" applyNumberFormat="1" applyFont="1" applyBorder="1" applyAlignment="1">
      <alignment horizontal="center" vertical="center" wrapText="1"/>
    </xf>
    <xf numFmtId="0" fontId="39" fillId="2" borderId="33" xfId="275" applyFont="1" applyFill="1" applyBorder="1" applyAlignment="1">
      <alignment vertical="center"/>
    </xf>
    <xf numFmtId="0" fontId="8" fillId="15" borderId="32" xfId="275" applyFont="1" applyFill="1" applyBorder="1" applyAlignment="1">
      <alignment vertical="center"/>
    </xf>
    <xf numFmtId="187" fontId="8" fillId="15" borderId="32" xfId="1" applyNumberFormat="1" applyFont="1" applyFill="1" applyBorder="1" applyAlignment="1">
      <alignment horizontal="center" vertical="center"/>
    </xf>
    <xf numFmtId="2" fontId="66" fillId="2" borderId="33" xfId="3" applyNumberFormat="1" applyFont="1" applyFill="1" applyBorder="1" applyAlignment="1">
      <alignment vertical="center"/>
    </xf>
    <xf numFmtId="0" fontId="0" fillId="0" borderId="0" xfId="0" applyBorder="1" applyAlignment="1">
      <alignment horizontal="center" wrapText="1"/>
    </xf>
    <xf numFmtId="0" fontId="0" fillId="0" borderId="0" xfId="0" applyBorder="1" applyAlignment="1">
      <alignment horizontal="center"/>
    </xf>
    <xf numFmtId="0" fontId="2" fillId="0" borderId="0" xfId="316" applyAlignment="1">
      <alignment horizontal="center"/>
    </xf>
    <xf numFmtId="0" fontId="61" fillId="0" borderId="0" xfId="316" applyFont="1" applyAlignment="1">
      <alignment horizontal="center" vertical="center"/>
    </xf>
    <xf numFmtId="194" fontId="68" fillId="14" borderId="36" xfId="1" applyNumberFormat="1" applyFont="1" applyFill="1" applyBorder="1" applyAlignment="1">
      <alignment horizontal="center" vertical="center" wrapText="1" readingOrder="1"/>
    </xf>
    <xf numFmtId="43" fontId="68" fillId="14" borderId="36" xfId="1" applyFont="1" applyFill="1" applyBorder="1" applyAlignment="1">
      <alignment horizontal="center" vertical="center" wrapText="1" readingOrder="1"/>
    </xf>
    <xf numFmtId="43" fontId="68" fillId="14" borderId="0" xfId="1" applyFont="1" applyFill="1" applyAlignment="1">
      <alignment horizontal="center" vertical="center" wrapText="1" readingOrder="1"/>
    </xf>
    <xf numFmtId="44" fontId="38" fillId="2" borderId="37" xfId="279" applyNumberFormat="1" applyFont="1" applyFill="1" applyBorder="1" applyAlignment="1">
      <alignment horizontal="center" vertical="center"/>
    </xf>
    <xf numFmtId="0" fontId="2" fillId="0" borderId="39" xfId="316" applyBorder="1" applyAlignment="1">
      <alignment horizontal="center"/>
    </xf>
    <xf numFmtId="14" fontId="2" fillId="0" borderId="0" xfId="316" applyNumberFormat="1" applyBorder="1" applyAlignment="1">
      <alignment horizontal="center"/>
    </xf>
    <xf numFmtId="43" fontId="2" fillId="0" borderId="0" xfId="316" applyNumberFormat="1" applyBorder="1" applyAlignment="1">
      <alignment horizontal="center"/>
    </xf>
    <xf numFmtId="0" fontId="2" fillId="0" borderId="34" xfId="316" applyBorder="1" applyAlignment="1">
      <alignment horizontal="center"/>
    </xf>
    <xf numFmtId="43" fontId="42" fillId="0" borderId="36" xfId="1" applyFont="1" applyBorder="1" applyAlignment="1">
      <alignment horizontal="center"/>
    </xf>
    <xf numFmtId="187" fontId="2" fillId="0" borderId="0" xfId="316" applyNumberFormat="1" applyFill="1" applyBorder="1"/>
    <xf numFmtId="0" fontId="2" fillId="0" borderId="0" xfId="316" applyFill="1" applyBorder="1"/>
    <xf numFmtId="187" fontId="2" fillId="0" borderId="0" xfId="316" applyNumberFormat="1" applyFill="1"/>
    <xf numFmtId="0" fontId="2" fillId="0" borderId="0" xfId="316" applyFill="1"/>
    <xf numFmtId="0" fontId="2" fillId="0" borderId="0" xfId="316" applyFill="1" applyBorder="1" applyAlignment="1">
      <alignment vertical="center" wrapText="1"/>
    </xf>
    <xf numFmtId="43" fontId="2" fillId="14" borderId="0" xfId="1" applyFont="1" applyFill="1" applyAlignment="1">
      <alignment vertical="center"/>
    </xf>
    <xf numFmtId="43" fontId="2" fillId="14" borderId="0" xfId="1" applyFont="1" applyFill="1"/>
    <xf numFmtId="43" fontId="2" fillId="0" borderId="36" xfId="316" applyNumberFormat="1" applyBorder="1" applyAlignment="1">
      <alignment vertical="center"/>
    </xf>
    <xf numFmtId="187" fontId="0" fillId="14" borderId="0" xfId="1" applyNumberFormat="1" applyFont="1" applyFill="1"/>
    <xf numFmtId="187" fontId="2" fillId="14" borderId="0" xfId="1" applyNumberFormat="1" applyFont="1" applyFill="1" applyBorder="1" applyAlignment="1">
      <alignment horizontal="right"/>
    </xf>
    <xf numFmtId="3" fontId="87" fillId="14" borderId="66" xfId="0" applyNumberFormat="1" applyFont="1" applyFill="1" applyBorder="1" applyAlignment="1">
      <alignment horizontal="center" vertical="center" wrapText="1"/>
    </xf>
    <xf numFmtId="0" fontId="87" fillId="14" borderId="42" xfId="0" applyFont="1" applyFill="1" applyBorder="1" applyAlignment="1">
      <alignment horizontal="center" vertical="center" wrapText="1"/>
    </xf>
    <xf numFmtId="9" fontId="87" fillId="14" borderId="42" xfId="0" applyNumberFormat="1" applyFont="1" applyFill="1" applyBorder="1" applyAlignment="1">
      <alignment horizontal="center" vertical="center" wrapText="1"/>
    </xf>
    <xf numFmtId="4" fontId="87" fillId="14" borderId="42" xfId="0" applyNumberFormat="1" applyFont="1" applyFill="1" applyBorder="1" applyAlignment="1">
      <alignment horizontal="center" vertical="center" wrapText="1"/>
    </xf>
    <xf numFmtId="0" fontId="88" fillId="40" borderId="36" xfId="275" applyFont="1" applyFill="1" applyBorder="1" applyAlignment="1">
      <alignment horizontal="center" vertical="center" wrapText="1"/>
    </xf>
    <xf numFmtId="0" fontId="39" fillId="40" borderId="36" xfId="275" applyFont="1" applyFill="1" applyBorder="1" applyAlignment="1">
      <alignment horizontal="center" vertical="center" wrapText="1"/>
    </xf>
    <xf numFmtId="0" fontId="39" fillId="40" borderId="36" xfId="275" applyFont="1" applyFill="1" applyBorder="1"/>
    <xf numFmtId="43" fontId="39" fillId="40" borderId="36" xfId="275" applyNumberFormat="1" applyFont="1" applyFill="1" applyBorder="1"/>
    <xf numFmtId="0" fontId="89" fillId="0" borderId="0" xfId="4" applyFont="1" applyAlignment="1">
      <alignment vertical="center"/>
    </xf>
    <xf numFmtId="43" fontId="8" fillId="0" borderId="0" xfId="1" applyNumberFormat="1" applyFont="1"/>
    <xf numFmtId="43" fontId="89" fillId="0" borderId="0" xfId="1" applyNumberFormat="1" applyFont="1"/>
    <xf numFmtId="0" fontId="43" fillId="0" borderId="36" xfId="0" applyFont="1" applyBorder="1" applyAlignment="1">
      <alignment horizontal="center" vertical="center" wrapText="1"/>
    </xf>
    <xf numFmtId="0" fontId="43" fillId="14" borderId="0" xfId="0" applyFont="1" applyFill="1" applyBorder="1" applyAlignment="1">
      <alignment horizontal="center" vertical="center" wrapText="1"/>
    </xf>
    <xf numFmtId="0" fontId="41" fillId="14" borderId="0" xfId="0" applyFont="1" applyFill="1" applyBorder="1"/>
    <xf numFmtId="44" fontId="41" fillId="14" borderId="0" xfId="0" applyNumberFormat="1" applyFont="1" applyFill="1" applyBorder="1"/>
    <xf numFmtId="194" fontId="41" fillId="14" borderId="0" xfId="1" applyNumberFormat="1" applyFont="1" applyFill="1" applyBorder="1"/>
    <xf numFmtId="44" fontId="41" fillId="14" borderId="0" xfId="0" applyNumberFormat="1" applyFont="1" applyFill="1" applyBorder="1" applyAlignment="1">
      <alignment horizontal="center" vertical="center"/>
    </xf>
    <xf numFmtId="0" fontId="41" fillId="14" borderId="36" xfId="0" applyFont="1" applyFill="1" applyBorder="1" applyAlignment="1">
      <alignment horizontal="center" vertical="center"/>
    </xf>
    <xf numFmtId="44" fontId="41" fillId="0" borderId="36" xfId="0" applyNumberFormat="1" applyFont="1" applyBorder="1" applyAlignment="1">
      <alignment horizontal="center" vertical="center"/>
    </xf>
    <xf numFmtId="197" fontId="0" fillId="14" borderId="36" xfId="0" applyNumberFormat="1" applyFill="1" applyBorder="1"/>
    <xf numFmtId="43" fontId="73" fillId="40" borderId="36" xfId="1" applyFont="1" applyFill="1" applyBorder="1" applyAlignment="1">
      <alignment horizontal="center"/>
    </xf>
    <xf numFmtId="43" fontId="73" fillId="40" borderId="36" xfId="1" applyFont="1" applyFill="1" applyBorder="1"/>
    <xf numFmtId="197" fontId="73" fillId="40" borderId="36" xfId="0" applyNumberFormat="1" applyFont="1" applyFill="1" applyBorder="1"/>
    <xf numFmtId="0" fontId="73" fillId="40" borderId="36" xfId="0" applyFont="1" applyFill="1" applyBorder="1"/>
    <xf numFmtId="0" fontId="86" fillId="0" borderId="0" xfId="0" applyFont="1" applyAlignment="1">
      <alignment vertical="top"/>
    </xf>
    <xf numFmtId="9" fontId="2" fillId="0" borderId="0" xfId="3" applyNumberFormat="1" applyFont="1"/>
    <xf numFmtId="0" fontId="22" fillId="14" borderId="36" xfId="0" applyFont="1" applyFill="1" applyBorder="1" applyAlignment="1" applyProtection="1">
      <alignment vertical="center"/>
      <protection locked="0"/>
    </xf>
    <xf numFmtId="0" fontId="34" fillId="14" borderId="36" xfId="0" applyFont="1" applyFill="1" applyBorder="1" applyAlignment="1" applyProtection="1">
      <alignment vertical="center"/>
      <protection locked="0"/>
    </xf>
    <xf numFmtId="10" fontId="34" fillId="14" borderId="36" xfId="3" applyNumberFormat="1" applyFont="1" applyFill="1" applyBorder="1" applyAlignment="1" applyProtection="1">
      <alignment vertical="center"/>
      <protection locked="0"/>
    </xf>
    <xf numFmtId="0" fontId="22" fillId="14" borderId="36" xfId="0" applyFont="1" applyFill="1" applyBorder="1" applyAlignment="1" applyProtection="1">
      <alignment horizontal="center" vertical="center"/>
      <protection locked="0"/>
    </xf>
    <xf numFmtId="10" fontId="22" fillId="0" borderId="36" xfId="3" applyNumberFormat="1" applyFont="1" applyBorder="1" applyAlignment="1" applyProtection="1">
      <alignment horizontal="right" vertical="center"/>
    </xf>
    <xf numFmtId="0" fontId="63" fillId="0" borderId="0" xfId="541" quotePrefix="1"/>
    <xf numFmtId="44" fontId="41" fillId="14" borderId="36" xfId="2" applyFont="1" applyFill="1" applyBorder="1" applyAlignment="1">
      <alignment vertical="center"/>
    </xf>
    <xf numFmtId="194" fontId="41" fillId="14" borderId="36" xfId="1" applyNumberFormat="1" applyFont="1" applyFill="1" applyBorder="1" applyAlignment="1">
      <alignment vertical="center"/>
    </xf>
    <xf numFmtId="44" fontId="41" fillId="14" borderId="36" xfId="0" applyNumberFormat="1" applyFont="1" applyFill="1" applyBorder="1" applyAlignment="1">
      <alignment vertical="center"/>
    </xf>
    <xf numFmtId="44" fontId="41" fillId="0" borderId="0" xfId="0" applyNumberFormat="1" applyFont="1" applyAlignment="1">
      <alignment vertical="center"/>
    </xf>
    <xf numFmtId="0" fontId="92" fillId="0" borderId="0" xfId="275" applyFont="1" applyAlignment="1">
      <alignment vertical="center"/>
    </xf>
    <xf numFmtId="0" fontId="63" fillId="14" borderId="0" xfId="541" applyFill="1" applyAlignment="1">
      <alignment horizontal="left" vertical="center" indent="1"/>
    </xf>
    <xf numFmtId="0" fontId="63" fillId="0" borderId="0" xfId="541" applyAlignment="1">
      <alignment horizontal="left" vertical="center" indent="1"/>
    </xf>
    <xf numFmtId="0" fontId="63" fillId="14" borderId="0" xfId="541" applyFill="1" applyAlignment="1">
      <alignment vertical="center" wrapText="1"/>
    </xf>
    <xf numFmtId="0" fontId="95" fillId="0" borderId="0" xfId="275" applyFont="1" applyAlignment="1">
      <alignment vertical="center"/>
    </xf>
    <xf numFmtId="0" fontId="96" fillId="0" borderId="0" xfId="0" applyFont="1" applyAlignment="1">
      <alignment horizontal="justify" vertical="center"/>
    </xf>
    <xf numFmtId="0" fontId="8" fillId="14" borderId="0" xfId="0" applyFont="1" applyFill="1" applyBorder="1" applyAlignment="1" applyProtection="1">
      <alignment horizontal="center" vertical="center"/>
      <protection locked="0"/>
    </xf>
    <xf numFmtId="43" fontId="8" fillId="14" borderId="0" xfId="1" applyFont="1" applyFill="1" applyBorder="1" applyAlignment="1">
      <alignment horizontal="right" vertical="center"/>
    </xf>
    <xf numFmtId="167" fontId="39" fillId="14" borderId="0" xfId="279" applyFont="1" applyFill="1" applyBorder="1" applyAlignment="1">
      <alignment vertical="center" wrapText="1"/>
    </xf>
    <xf numFmtId="0" fontId="0" fillId="0" borderId="36" xfId="0" applyBorder="1"/>
    <xf numFmtId="0" fontId="72" fillId="35" borderId="0" xfId="0" applyFont="1" applyFill="1" applyBorder="1" applyAlignment="1">
      <alignment horizontal="left" vertical="center"/>
    </xf>
    <xf numFmtId="0" fontId="72" fillId="35" borderId="0" xfId="0" applyFont="1" applyFill="1" applyBorder="1" applyAlignment="1">
      <alignment horizontal="left" vertical="center" wrapText="1" indent="4"/>
    </xf>
    <xf numFmtId="0" fontId="41" fillId="14" borderId="0" xfId="0" applyFont="1" applyFill="1" applyBorder="1" applyAlignment="1">
      <alignment horizontal="center"/>
    </xf>
    <xf numFmtId="0" fontId="8" fillId="40" borderId="49" xfId="540" applyFont="1" applyFill="1" applyBorder="1" applyAlignment="1">
      <alignment horizontal="center" vertical="center" wrapText="1"/>
    </xf>
    <xf numFmtId="0" fontId="76" fillId="40" borderId="49" xfId="540" applyFont="1" applyFill="1" applyBorder="1" applyAlignment="1">
      <alignment horizontal="center" vertical="center" wrapText="1"/>
    </xf>
    <xf numFmtId="0" fontId="43" fillId="0" borderId="36" xfId="0" applyFont="1" applyBorder="1" applyAlignment="1">
      <alignment vertical="center"/>
    </xf>
    <xf numFmtId="0" fontId="8" fillId="36" borderId="50" xfId="540" applyFont="1" applyFill="1" applyBorder="1" applyAlignment="1">
      <alignment horizontal="left" vertical="center" wrapText="1"/>
    </xf>
    <xf numFmtId="1" fontId="90" fillId="36" borderId="50" xfId="540" applyNumberFormat="1" applyFont="1" applyFill="1" applyBorder="1" applyAlignment="1">
      <alignment horizontal="right" vertical="center" shrinkToFit="1"/>
    </xf>
    <xf numFmtId="0" fontId="76" fillId="40" borderId="54" xfId="540" applyFont="1" applyFill="1" applyBorder="1" applyAlignment="1">
      <alignment horizontal="left" vertical="center" wrapText="1"/>
    </xf>
    <xf numFmtId="1" fontId="75" fillId="0" borderId="54" xfId="540" applyNumberFormat="1" applyFont="1" applyBorder="1" applyAlignment="1">
      <alignment horizontal="center" vertical="center" shrinkToFit="1"/>
    </xf>
    <xf numFmtId="1" fontId="75" fillId="0" borderId="43" xfId="540" applyNumberFormat="1" applyFont="1" applyBorder="1" applyAlignment="1">
      <alignment horizontal="center" vertical="center" shrinkToFit="1"/>
    </xf>
    <xf numFmtId="1" fontId="41" fillId="0" borderId="0" xfId="0" applyNumberFormat="1" applyFont="1" applyAlignment="1">
      <alignment horizontal="center" vertical="center"/>
    </xf>
    <xf numFmtId="0" fontId="0" fillId="14" borderId="0" xfId="0" applyFill="1" applyBorder="1" applyAlignment="1">
      <alignment horizontal="right"/>
    </xf>
    <xf numFmtId="167" fontId="69" fillId="14" borderId="0" xfId="279" applyFont="1" applyFill="1" applyBorder="1" applyAlignment="1">
      <alignment horizontal="left" vertical="center" wrapText="1"/>
    </xf>
    <xf numFmtId="43" fontId="1" fillId="14" borderId="0" xfId="1" applyFill="1" applyBorder="1"/>
    <xf numFmtId="194" fontId="0" fillId="14" borderId="0" xfId="1" applyNumberFormat="1" applyFont="1" applyFill="1" applyBorder="1"/>
    <xf numFmtId="43" fontId="0" fillId="14" borderId="0" xfId="1" applyFont="1" applyFill="1" applyBorder="1"/>
    <xf numFmtId="187" fontId="0" fillId="14" borderId="36" xfId="1" applyNumberFormat="1" applyFont="1" applyFill="1" applyBorder="1" applyAlignment="1"/>
    <xf numFmtId="43" fontId="0" fillId="0" borderId="36" xfId="1" applyFont="1" applyBorder="1" applyAlignment="1">
      <alignment horizontal="center"/>
    </xf>
    <xf numFmtId="187" fontId="79" fillId="0" borderId="36" xfId="0" applyNumberFormat="1" applyFont="1" applyBorder="1"/>
    <xf numFmtId="43" fontId="79" fillId="0" borderId="36" xfId="1" applyFont="1" applyBorder="1"/>
    <xf numFmtId="0" fontId="43" fillId="0" borderId="0" xfId="0" applyFont="1" applyBorder="1" applyAlignment="1">
      <alignment horizontal="center" vertical="center"/>
    </xf>
    <xf numFmtId="187" fontId="79" fillId="0" borderId="0" xfId="0" applyNumberFormat="1" applyFont="1" applyBorder="1"/>
    <xf numFmtId="43" fontId="79" fillId="0" borderId="0" xfId="1" applyFont="1" applyBorder="1"/>
    <xf numFmtId="43" fontId="0" fillId="0" borderId="36" xfId="0" applyNumberFormat="1" applyBorder="1"/>
    <xf numFmtId="0" fontId="2" fillId="36" borderId="27" xfId="540" applyFont="1" applyFill="1" applyBorder="1" applyAlignment="1">
      <alignment vertical="center" wrapText="1"/>
    </xf>
    <xf numFmtId="1" fontId="2" fillId="36" borderId="27" xfId="540" applyNumberFormat="1" applyFont="1" applyFill="1" applyBorder="1" applyAlignment="1">
      <alignment horizontal="center" vertical="center" wrapText="1"/>
    </xf>
    <xf numFmtId="0" fontId="73" fillId="40" borderId="4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3" fontId="0" fillId="0" borderId="0" xfId="0" applyNumberFormat="1" applyAlignment="1">
      <alignment vertical="center" wrapText="1"/>
    </xf>
    <xf numFmtId="187" fontId="0" fillId="14" borderId="36" xfId="1" applyNumberFormat="1" applyFont="1" applyFill="1" applyBorder="1" applyAlignment="1">
      <alignment vertical="center"/>
    </xf>
    <xf numFmtId="43" fontId="0" fillId="14" borderId="36" xfId="1" applyFont="1" applyFill="1" applyBorder="1" applyAlignment="1">
      <alignment vertical="center"/>
    </xf>
    <xf numFmtId="43" fontId="0" fillId="0" borderId="36" xfId="1" applyFont="1" applyBorder="1" applyAlignment="1">
      <alignment horizontal="center" vertical="center"/>
    </xf>
    <xf numFmtId="17" fontId="63" fillId="14" borderId="36" xfId="541" applyNumberFormat="1" applyFill="1" applyBorder="1" applyAlignment="1">
      <alignment horizontal="left" vertical="center" wrapText="1"/>
    </xf>
    <xf numFmtId="0" fontId="63" fillId="0" borderId="36" xfId="541" applyBorder="1"/>
    <xf numFmtId="0" fontId="0" fillId="14" borderId="0" xfId="0" applyFill="1" applyBorder="1" applyAlignment="1">
      <alignment horizontal="left"/>
    </xf>
    <xf numFmtId="0" fontId="0" fillId="14" borderId="0" xfId="0" applyFill="1" applyBorder="1" applyAlignment="1">
      <alignment horizontal="left" vertical="center"/>
    </xf>
    <xf numFmtId="43" fontId="0" fillId="14" borderId="0" xfId="1" applyFont="1" applyFill="1" applyBorder="1" applyAlignment="1">
      <alignment vertical="center"/>
    </xf>
    <xf numFmtId="194" fontId="0" fillId="14" borderId="0" xfId="1" applyNumberFormat="1" applyFont="1" applyFill="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43" fontId="0" fillId="0" borderId="0" xfId="0" applyNumberFormat="1" applyAlignment="1">
      <alignment vertical="center"/>
    </xf>
    <xf numFmtId="0" fontId="0" fillId="0" borderId="0" xfId="0" applyAlignment="1">
      <alignment vertical="center"/>
    </xf>
    <xf numFmtId="1" fontId="2" fillId="36" borderId="52" xfId="540" applyNumberFormat="1" applyFont="1" applyFill="1" applyBorder="1" applyAlignment="1">
      <alignment horizontal="center" vertical="center" wrapText="1"/>
    </xf>
    <xf numFmtId="0" fontId="41" fillId="0" borderId="0" xfId="0" applyFont="1" applyBorder="1" applyAlignment="1">
      <alignment horizontal="left" vertical="center"/>
    </xf>
    <xf numFmtId="0" fontId="63" fillId="0" borderId="0" xfId="541" applyAlignment="1">
      <alignment horizontal="left" vertical="center"/>
    </xf>
    <xf numFmtId="0" fontId="38" fillId="40" borderId="36" xfId="0" applyFont="1" applyFill="1" applyBorder="1" applyAlignment="1">
      <alignment horizontal="right" vertical="center" wrapText="1" readingOrder="1"/>
    </xf>
    <xf numFmtId="0" fontId="38" fillId="40" borderId="36" xfId="0" applyFont="1" applyFill="1" applyBorder="1" applyAlignment="1">
      <alignment horizontal="left" vertical="center" wrapText="1" readingOrder="1"/>
    </xf>
    <xf numFmtId="43" fontId="38" fillId="40" borderId="36" xfId="1" applyFont="1" applyFill="1" applyBorder="1" applyAlignment="1">
      <alignment horizontal="right"/>
    </xf>
    <xf numFmtId="43" fontId="38" fillId="40" borderId="36" xfId="1" applyFont="1" applyFill="1" applyBorder="1" applyAlignment="1">
      <alignment horizontal="center"/>
    </xf>
    <xf numFmtId="43" fontId="97" fillId="40" borderId="36" xfId="1" applyFont="1" applyFill="1" applyBorder="1"/>
    <xf numFmtId="43" fontId="97" fillId="40" borderId="36" xfId="1" applyFont="1" applyFill="1" applyBorder="1" applyAlignment="1">
      <alignment horizontal="center"/>
    </xf>
    <xf numFmtId="0" fontId="2" fillId="14" borderId="0" xfId="316" applyFill="1" applyBorder="1" applyAlignment="1">
      <alignment vertical="center"/>
    </xf>
    <xf numFmtId="43" fontId="68" fillId="14" borderId="0" xfId="1" applyFont="1" applyFill="1" applyBorder="1" applyAlignment="1">
      <alignment horizontal="right" vertical="center" wrapText="1" readingOrder="1"/>
    </xf>
    <xf numFmtId="14" fontId="2" fillId="14" borderId="0" xfId="316" applyNumberFormat="1" applyFill="1" applyBorder="1"/>
    <xf numFmtId="0" fontId="2" fillId="14" borderId="0" xfId="275" applyFill="1" applyAlignment="1">
      <alignment vertical="center"/>
    </xf>
    <xf numFmtId="0" fontId="2" fillId="14" borderId="0" xfId="316" applyFill="1" applyAlignment="1">
      <alignment vertical="center"/>
    </xf>
    <xf numFmtId="9" fontId="2" fillId="14" borderId="0" xfId="3" applyFont="1" applyFill="1" applyAlignment="1">
      <alignment vertical="center"/>
    </xf>
    <xf numFmtId="0" fontId="2" fillId="14" borderId="55" xfId="316" applyFill="1" applyBorder="1" applyAlignment="1">
      <alignment vertical="center"/>
    </xf>
    <xf numFmtId="0" fontId="2" fillId="14" borderId="52" xfId="316" applyFill="1" applyBorder="1" applyAlignment="1">
      <alignment vertical="center"/>
    </xf>
    <xf numFmtId="0" fontId="2" fillId="14" borderId="55" xfId="316" applyFill="1" applyBorder="1"/>
    <xf numFmtId="0" fontId="2" fillId="14" borderId="52" xfId="316" applyFill="1" applyBorder="1"/>
    <xf numFmtId="0" fontId="2" fillId="14" borderId="44" xfId="316" applyFill="1" applyBorder="1"/>
    <xf numFmtId="0" fontId="2" fillId="14" borderId="27" xfId="316" applyFill="1" applyBorder="1"/>
    <xf numFmtId="0" fontId="2" fillId="14" borderId="45" xfId="316" applyFill="1" applyBorder="1" applyAlignment="1">
      <alignment vertical="center"/>
    </xf>
    <xf numFmtId="0" fontId="0" fillId="14" borderId="55" xfId="0" applyFill="1" applyBorder="1" applyAlignment="1">
      <alignment horizontal="left" vertical="center"/>
    </xf>
    <xf numFmtId="0" fontId="0" fillId="0" borderId="27" xfId="0" applyBorder="1"/>
    <xf numFmtId="0" fontId="2" fillId="14" borderId="0" xfId="316" applyFill="1" applyBorder="1"/>
    <xf numFmtId="0" fontId="2" fillId="14" borderId="57" xfId="316" applyFill="1" applyBorder="1"/>
    <xf numFmtId="0" fontId="2" fillId="14" borderId="26" xfId="316" applyFill="1" applyBorder="1"/>
    <xf numFmtId="0" fontId="2" fillId="14" borderId="47" xfId="316" applyFill="1" applyBorder="1"/>
    <xf numFmtId="0" fontId="2" fillId="14" borderId="32" xfId="316" applyFill="1" applyBorder="1" applyAlignment="1">
      <alignment wrapText="1"/>
    </xf>
    <xf numFmtId="0" fontId="2" fillId="14" borderId="0" xfId="316" applyFill="1" applyBorder="1" applyAlignment="1"/>
    <xf numFmtId="0" fontId="2" fillId="14" borderId="27" xfId="316" applyFill="1" applyBorder="1" applyAlignment="1">
      <alignment wrapText="1"/>
    </xf>
    <xf numFmtId="0" fontId="2" fillId="14" borderId="27" xfId="316" applyFill="1" applyBorder="1" applyAlignment="1">
      <alignment horizontal="left" wrapText="1"/>
    </xf>
    <xf numFmtId="0" fontId="0" fillId="0" borderId="0" xfId="0" applyBorder="1"/>
    <xf numFmtId="0" fontId="2" fillId="14" borderId="46" xfId="316" applyFill="1" applyBorder="1"/>
    <xf numFmtId="0" fontId="0" fillId="0" borderId="52" xfId="0" applyBorder="1"/>
    <xf numFmtId="0" fontId="2" fillId="14" borderId="27" xfId="316" applyFill="1" applyBorder="1" applyAlignment="1">
      <alignment vertical="center"/>
    </xf>
    <xf numFmtId="0" fontId="2" fillId="14" borderId="32" xfId="316" applyFill="1" applyBorder="1"/>
    <xf numFmtId="0" fontId="2" fillId="0" borderId="62" xfId="275" applyBorder="1" applyAlignment="1">
      <alignment horizontal="right"/>
    </xf>
    <xf numFmtId="0" fontId="8" fillId="0" borderId="0" xfId="316" applyFont="1" applyBorder="1" applyAlignment="1">
      <alignment horizontal="center" wrapText="1"/>
    </xf>
    <xf numFmtId="43" fontId="8" fillId="0" borderId="0" xfId="1" applyFont="1" applyBorder="1" applyAlignment="1">
      <alignment horizontal="center" vertical="center"/>
    </xf>
    <xf numFmtId="0" fontId="63" fillId="0" borderId="0" xfId="541" applyAlignment="1">
      <alignment vertical="center"/>
    </xf>
    <xf numFmtId="0" fontId="95" fillId="14" borderId="0" xfId="275" applyFont="1" applyFill="1" applyAlignment="1">
      <alignment horizontal="center" vertical="center" wrapText="1"/>
    </xf>
    <xf numFmtId="0" fontId="98" fillId="14" borderId="0" xfId="0" applyFont="1" applyFill="1"/>
    <xf numFmtId="0" fontId="41" fillId="14" borderId="0" xfId="0" applyFont="1" applyFill="1" applyAlignment="1">
      <alignment vertical="center"/>
    </xf>
    <xf numFmtId="0" fontId="75" fillId="14" borderId="36" xfId="0" applyFont="1" applyFill="1" applyBorder="1" applyAlignment="1">
      <alignment horizontal="center" vertical="center" wrapText="1"/>
    </xf>
    <xf numFmtId="4" fontId="75" fillId="14" borderId="36" xfId="0" applyNumberFormat="1" applyFont="1" applyFill="1" applyBorder="1" applyAlignment="1">
      <alignment horizontal="center" vertical="center" wrapText="1"/>
    </xf>
    <xf numFmtId="0" fontId="75" fillId="14" borderId="0" xfId="0" applyFont="1" applyFill="1" applyBorder="1" applyAlignment="1">
      <alignment horizontal="center" vertical="center" wrapText="1"/>
    </xf>
    <xf numFmtId="4" fontId="75" fillId="14" borderId="0" xfId="0" applyNumberFormat="1" applyFont="1" applyFill="1" applyBorder="1" applyAlignment="1">
      <alignment horizontal="center" vertical="center" wrapText="1"/>
    </xf>
    <xf numFmtId="198" fontId="0" fillId="14" borderId="0" xfId="0" applyNumberFormat="1" applyFill="1"/>
    <xf numFmtId="196" fontId="0" fillId="14" borderId="0" xfId="0" applyNumberFormat="1" applyFill="1"/>
    <xf numFmtId="0" fontId="8" fillId="14" borderId="0" xfId="4" applyFont="1" applyFill="1" applyAlignment="1">
      <alignment vertical="center"/>
    </xf>
    <xf numFmtId="43" fontId="8" fillId="14" borderId="0" xfId="1" applyFont="1" applyFill="1"/>
    <xf numFmtId="43" fontId="8" fillId="14" borderId="0" xfId="1" applyNumberFormat="1" applyFont="1" applyFill="1"/>
    <xf numFmtId="0" fontId="89" fillId="14" borderId="0" xfId="4" applyFont="1" applyFill="1" applyAlignment="1">
      <alignment vertical="center"/>
    </xf>
    <xf numFmtId="43" fontId="89" fillId="14" borderId="0" xfId="1" applyNumberFormat="1" applyFont="1" applyFill="1"/>
    <xf numFmtId="10" fontId="8" fillId="14" borderId="0" xfId="3" applyNumberFormat="1" applyFont="1" applyFill="1" applyBorder="1"/>
    <xf numFmtId="0" fontId="38" fillId="14" borderId="0" xfId="4" applyFont="1" applyFill="1" applyAlignment="1">
      <alignment vertical="center" wrapText="1"/>
    </xf>
    <xf numFmtId="0" fontId="0" fillId="14" borderId="0" xfId="0" applyFill="1" applyAlignment="1">
      <alignment wrapText="1"/>
    </xf>
    <xf numFmtId="0" fontId="99" fillId="40" borderId="65" xfId="0" applyFont="1" applyFill="1" applyBorder="1" applyAlignment="1">
      <alignment horizontal="center" vertical="center" wrapText="1"/>
    </xf>
    <xf numFmtId="4" fontId="99" fillId="40" borderId="42" xfId="0" applyNumberFormat="1" applyFont="1" applyFill="1" applyBorder="1" applyAlignment="1">
      <alignment horizontal="center" vertical="center" wrapText="1"/>
    </xf>
    <xf numFmtId="0" fontId="0" fillId="14" borderId="0" xfId="0" applyFill="1" applyAlignment="1">
      <alignment vertical="center"/>
    </xf>
    <xf numFmtId="43" fontId="0" fillId="14" borderId="0" xfId="0" applyNumberFormat="1" applyFill="1" applyAlignment="1">
      <alignment vertical="center"/>
    </xf>
    <xf numFmtId="43" fontId="0" fillId="14" borderId="0" xfId="0" applyNumberFormat="1" applyFill="1" applyAlignment="1">
      <alignment horizontal="left"/>
    </xf>
    <xf numFmtId="0" fontId="63" fillId="14" borderId="36" xfId="541" applyFill="1" applyBorder="1"/>
    <xf numFmtId="0" fontId="63" fillId="0" borderId="36" xfId="541" applyBorder="1" applyAlignment="1">
      <alignment wrapText="1"/>
    </xf>
    <xf numFmtId="0" fontId="63" fillId="14" borderId="36" xfId="541" applyFill="1" applyBorder="1" applyAlignment="1">
      <alignment wrapText="1"/>
    </xf>
    <xf numFmtId="0" fontId="43" fillId="0" borderId="36" xfId="0" applyFont="1" applyBorder="1" applyAlignment="1">
      <alignment horizontal="center" vertical="center"/>
    </xf>
    <xf numFmtId="0" fontId="95" fillId="0" borderId="0" xfId="275" applyFont="1" applyAlignment="1">
      <alignment horizontal="center" vertical="center"/>
    </xf>
    <xf numFmtId="0" fontId="84" fillId="0" borderId="34" xfId="0" applyFont="1" applyBorder="1" applyAlignment="1">
      <alignment horizontal="center" vertical="center" wrapText="1"/>
    </xf>
    <xf numFmtId="0" fontId="75" fillId="40" borderId="36" xfId="540" applyFont="1" applyFill="1" applyBorder="1" applyAlignment="1">
      <alignment horizontal="center" vertical="center" wrapText="1"/>
    </xf>
    <xf numFmtId="0" fontId="41" fillId="0" borderId="0" xfId="0" applyFont="1" applyAlignment="1">
      <alignment horizontal="center" vertical="center"/>
    </xf>
    <xf numFmtId="0" fontId="73" fillId="2" borderId="0" xfId="0" applyFont="1" applyFill="1" applyAlignment="1">
      <alignment horizontal="center" vertical="center" wrapText="1"/>
    </xf>
    <xf numFmtId="4" fontId="73" fillId="2" borderId="0" xfId="0" applyNumberFormat="1" applyFont="1" applyFill="1" applyAlignment="1">
      <alignment horizontal="center" vertical="center"/>
    </xf>
    <xf numFmtId="0" fontId="41" fillId="0" borderId="36" xfId="0" applyFont="1" applyBorder="1" applyAlignment="1">
      <alignment horizontal="center" vertical="center"/>
    </xf>
    <xf numFmtId="0" fontId="0" fillId="0" borderId="0" xfId="0" applyAlignment="1">
      <alignment horizontal="center"/>
    </xf>
    <xf numFmtId="0" fontId="73" fillId="40" borderId="36" xfId="0" applyFont="1" applyFill="1" applyBorder="1" applyAlignment="1">
      <alignment horizontal="center" vertical="center" wrapText="1"/>
    </xf>
    <xf numFmtId="0" fontId="39" fillId="40" borderId="36" xfId="0" applyFont="1" applyFill="1" applyBorder="1" applyAlignment="1">
      <alignment horizontal="center" vertical="center" wrapText="1"/>
    </xf>
    <xf numFmtId="0" fontId="73" fillId="40" borderId="36" xfId="0" applyFont="1" applyFill="1" applyBorder="1" applyAlignment="1">
      <alignment horizontal="center" wrapText="1"/>
    </xf>
    <xf numFmtId="0" fontId="2" fillId="0" borderId="36" xfId="316" applyBorder="1" applyAlignment="1">
      <alignment horizontal="center"/>
    </xf>
    <xf numFmtId="0" fontId="2" fillId="14" borderId="0" xfId="316" applyFill="1" applyBorder="1" applyAlignment="1">
      <alignment horizontal="left" wrapText="1"/>
    </xf>
    <xf numFmtId="0" fontId="0" fillId="14" borderId="0" xfId="0" applyFill="1" applyAlignment="1">
      <alignment horizontal="center" vertical="center" wrapText="1"/>
    </xf>
    <xf numFmtId="0" fontId="99" fillId="40" borderId="61" xfId="0" applyFont="1" applyFill="1" applyBorder="1" applyAlignment="1">
      <alignment horizontal="center" vertical="center" wrapText="1"/>
    </xf>
    <xf numFmtId="199" fontId="66" fillId="2" borderId="0" xfId="3" applyNumberFormat="1" applyFont="1" applyFill="1" applyBorder="1" applyAlignment="1">
      <alignment vertical="center"/>
    </xf>
    <xf numFmtId="2" fontId="2" fillId="0" borderId="0" xfId="275" applyNumberFormat="1"/>
    <xf numFmtId="0" fontId="76" fillId="39" borderId="55" xfId="4" applyFont="1" applyFill="1" applyBorder="1" applyAlignment="1">
      <alignment horizontal="center" vertical="center"/>
    </xf>
    <xf numFmtId="0" fontId="76" fillId="39" borderId="27" xfId="4" applyFont="1" applyFill="1" applyBorder="1" applyAlignment="1">
      <alignment horizontal="center" vertical="center"/>
    </xf>
    <xf numFmtId="0" fontId="43" fillId="0" borderId="36" xfId="0" applyFont="1" applyBorder="1" applyAlignment="1">
      <alignment horizontal="center" vertical="center"/>
    </xf>
    <xf numFmtId="0" fontId="41" fillId="0" borderId="36" xfId="0" applyFont="1" applyBorder="1" applyAlignment="1">
      <alignment horizontal="center" vertical="center" wrapText="1"/>
    </xf>
    <xf numFmtId="0" fontId="93" fillId="0" borderId="0" xfId="275" applyFont="1" applyAlignment="1">
      <alignment horizontal="center" vertical="center" wrapText="1"/>
    </xf>
    <xf numFmtId="0" fontId="94" fillId="0" borderId="0" xfId="275" applyFont="1" applyAlignment="1">
      <alignment horizontal="center" vertical="center" wrapText="1"/>
    </xf>
    <xf numFmtId="0" fontId="41" fillId="0" borderId="0" xfId="0" applyFont="1" applyAlignment="1">
      <alignment horizontal="center" vertical="center" wrapText="1"/>
    </xf>
    <xf numFmtId="0" fontId="39" fillId="2" borderId="46" xfId="0" applyFont="1" applyFill="1" applyBorder="1" applyAlignment="1">
      <alignment horizontal="center" vertical="center"/>
    </xf>
    <xf numFmtId="0" fontId="39" fillId="2" borderId="26" xfId="0" applyFont="1" applyFill="1" applyBorder="1" applyAlignment="1">
      <alignment horizontal="center" vertical="center"/>
    </xf>
    <xf numFmtId="0" fontId="43" fillId="0" borderId="36" xfId="0" applyFont="1" applyBorder="1" applyAlignment="1">
      <alignment horizontal="center"/>
    </xf>
    <xf numFmtId="0" fontId="76" fillId="39" borderId="36" xfId="4" applyFont="1" applyFill="1" applyBorder="1" applyAlignment="1">
      <alignment horizontal="center" vertical="center"/>
    </xf>
    <xf numFmtId="0" fontId="38" fillId="40" borderId="26" xfId="4" applyFont="1" applyFill="1" applyBorder="1" applyAlignment="1">
      <alignment horizontal="center" vertical="center" wrapText="1"/>
    </xf>
    <xf numFmtId="0" fontId="91" fillId="0" borderId="0" xfId="275" applyFont="1" applyAlignment="1">
      <alignment horizontal="center" vertical="center"/>
    </xf>
    <xf numFmtId="0" fontId="92" fillId="0" borderId="0" xfId="275" applyFont="1" applyAlignment="1">
      <alignment horizontal="center" vertical="center"/>
    </xf>
    <xf numFmtId="0" fontId="2" fillId="0" borderId="0" xfId="275" applyAlignment="1">
      <alignment horizontal="center" vertical="center" wrapText="1"/>
    </xf>
    <xf numFmtId="0" fontId="38" fillId="2" borderId="0" xfId="4" applyFont="1" applyFill="1" applyAlignment="1">
      <alignment horizontal="center" vertical="center" wrapText="1"/>
    </xf>
    <xf numFmtId="0" fontId="39" fillId="2" borderId="0" xfId="275" applyFont="1" applyFill="1" applyBorder="1" applyAlignment="1">
      <alignment horizontal="center" vertical="center"/>
    </xf>
    <xf numFmtId="167" fontId="80" fillId="2" borderId="36" xfId="279" applyFont="1" applyFill="1" applyBorder="1" applyAlignment="1">
      <alignment horizontal="center" vertical="center"/>
    </xf>
    <xf numFmtId="0" fontId="2" fillId="0" borderId="55"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95" fillId="0" borderId="0" xfId="275" applyFont="1" applyAlignment="1">
      <alignment horizontal="center" vertical="center"/>
    </xf>
    <xf numFmtId="0" fontId="2" fillId="0" borderId="0" xfId="275" applyFont="1" applyAlignment="1">
      <alignment horizontal="center" vertical="center" wrapText="1"/>
    </xf>
    <xf numFmtId="0" fontId="91" fillId="0" borderId="0" xfId="275" applyFont="1" applyAlignment="1">
      <alignment horizontal="center" vertical="center" wrapText="1"/>
    </xf>
    <xf numFmtId="0" fontId="2" fillId="0" borderId="0" xfId="275" applyAlignment="1">
      <alignment horizontal="center" wrapText="1"/>
    </xf>
    <xf numFmtId="0" fontId="85" fillId="0" borderId="0" xfId="0" applyFont="1" applyAlignment="1">
      <alignment horizontal="center"/>
    </xf>
    <xf numFmtId="0" fontId="84" fillId="0" borderId="64" xfId="0" applyFont="1" applyBorder="1" applyAlignment="1">
      <alignment horizontal="center" wrapText="1"/>
    </xf>
    <xf numFmtId="167" fontId="80" fillId="2" borderId="0" xfId="279" applyFont="1" applyFill="1" applyBorder="1" applyAlignment="1">
      <alignment horizontal="center" vertical="center" wrapText="1"/>
    </xf>
    <xf numFmtId="0" fontId="84" fillId="0" borderId="34" xfId="0" applyFont="1" applyBorder="1" applyAlignment="1">
      <alignment horizontal="center" vertical="center" wrapText="1"/>
    </xf>
    <xf numFmtId="0" fontId="8" fillId="15" borderId="32" xfId="275" applyFont="1" applyFill="1" applyBorder="1" applyAlignment="1">
      <alignment horizontal="center" vertical="center"/>
    </xf>
    <xf numFmtId="167" fontId="80" fillId="2" borderId="27" xfId="279" applyFont="1" applyFill="1" applyBorder="1" applyAlignment="1">
      <alignment horizontal="center" vertical="center" wrapText="1"/>
    </xf>
    <xf numFmtId="43" fontId="73" fillId="2" borderId="55" xfId="1" applyFont="1" applyFill="1" applyBorder="1" applyAlignment="1">
      <alignment horizontal="center" wrapText="1"/>
    </xf>
    <xf numFmtId="43" fontId="73" fillId="2" borderId="52" xfId="1" applyFont="1" applyFill="1" applyBorder="1" applyAlignment="1">
      <alignment horizontal="center" wrapText="1"/>
    </xf>
    <xf numFmtId="0" fontId="2" fillId="0" borderId="32" xfId="275" applyBorder="1" applyAlignment="1">
      <alignment horizontal="center" wrapText="1"/>
    </xf>
    <xf numFmtId="0" fontId="95" fillId="0" borderId="0" xfId="275" applyFont="1" applyAlignment="1">
      <alignment horizontal="center" vertical="center" wrapText="1"/>
    </xf>
    <xf numFmtId="167" fontId="39" fillId="2" borderId="55" xfId="279" applyFont="1" applyFill="1" applyBorder="1" applyAlignment="1">
      <alignment horizontal="center" vertical="center" wrapText="1"/>
    </xf>
    <xf numFmtId="167" fontId="39" fillId="2" borderId="27" xfId="279" applyFont="1" applyFill="1" applyBorder="1" applyAlignment="1">
      <alignment horizontal="center" vertical="center" wrapText="1"/>
    </xf>
    <xf numFmtId="167" fontId="39" fillId="2" borderId="52" xfId="279" applyFont="1" applyFill="1" applyBorder="1" applyAlignment="1">
      <alignment horizontal="center" vertical="center" wrapText="1"/>
    </xf>
    <xf numFmtId="0" fontId="63" fillId="0" borderId="36" xfId="541" applyBorder="1" applyAlignment="1" applyProtection="1">
      <alignment horizontal="center" vertical="center" wrapText="1"/>
      <protection locked="0"/>
    </xf>
    <xf numFmtId="10" fontId="79" fillId="0" borderId="36" xfId="0" applyNumberFormat="1" applyFont="1" applyBorder="1" applyAlignment="1">
      <alignment horizontal="center" vertical="center"/>
    </xf>
    <xf numFmtId="0" fontId="2" fillId="14" borderId="0" xfId="0" applyFont="1" applyFill="1" applyBorder="1" applyAlignment="1" applyProtection="1">
      <alignment horizontal="center" vertical="center" wrapText="1"/>
      <protection locked="0"/>
    </xf>
    <xf numFmtId="0" fontId="75" fillId="40" borderId="36" xfId="540" applyFont="1" applyFill="1" applyBorder="1" applyAlignment="1">
      <alignment horizontal="center" vertical="center" wrapText="1"/>
    </xf>
    <xf numFmtId="0" fontId="41" fillId="0" borderId="0" xfId="0" applyFont="1" applyAlignment="1">
      <alignment horizontal="center" vertical="center"/>
    </xf>
    <xf numFmtId="0" fontId="39" fillId="2" borderId="46" xfId="0" applyFont="1" applyFill="1" applyBorder="1" applyAlignment="1">
      <alignment horizontal="center"/>
    </xf>
    <xf numFmtId="0" fontId="39" fillId="2" borderId="26" xfId="0" applyFont="1" applyFill="1" applyBorder="1" applyAlignment="1">
      <alignment horizontal="center"/>
    </xf>
    <xf numFmtId="0" fontId="73" fillId="2" borderId="0" xfId="0" applyFont="1" applyFill="1" applyAlignment="1">
      <alignment horizontal="center" vertical="center" wrapText="1"/>
    </xf>
    <xf numFmtId="4" fontId="73" fillId="2" borderId="0" xfId="0" applyNumberFormat="1" applyFont="1" applyFill="1" applyAlignment="1">
      <alignment horizontal="center" vertical="center" wrapText="1"/>
    </xf>
    <xf numFmtId="4" fontId="73" fillId="2" borderId="26" xfId="0" applyNumberFormat="1" applyFont="1" applyFill="1" applyBorder="1" applyAlignment="1">
      <alignment horizontal="center" vertical="center" wrapText="1"/>
    </xf>
    <xf numFmtId="4" fontId="73" fillId="2" borderId="0" xfId="0" applyNumberFormat="1" applyFont="1" applyFill="1" applyAlignment="1">
      <alignment horizontal="center" wrapText="1"/>
    </xf>
    <xf numFmtId="4" fontId="73" fillId="2" borderId="26" xfId="0" applyNumberFormat="1" applyFont="1" applyFill="1" applyBorder="1" applyAlignment="1">
      <alignment horizontal="center" wrapText="1"/>
    </xf>
    <xf numFmtId="4" fontId="73" fillId="2" borderId="0" xfId="0" applyNumberFormat="1" applyFont="1" applyFill="1" applyAlignment="1">
      <alignment horizontal="center" vertical="center"/>
    </xf>
    <xf numFmtId="4" fontId="73" fillId="2" borderId="26" xfId="0" applyNumberFormat="1" applyFont="1" applyFill="1" applyBorder="1" applyAlignment="1">
      <alignment horizontal="center" vertical="center"/>
    </xf>
    <xf numFmtId="0" fontId="73" fillId="40" borderId="55" xfId="0" applyFont="1" applyFill="1" applyBorder="1" applyAlignment="1">
      <alignment horizontal="center" vertical="center" wrapText="1"/>
    </xf>
    <xf numFmtId="0" fontId="73" fillId="40" borderId="52" xfId="0" applyFont="1" applyFill="1" applyBorder="1" applyAlignment="1">
      <alignment horizontal="center" vertical="center" wrapText="1"/>
    </xf>
    <xf numFmtId="0" fontId="41" fillId="0" borderId="36" xfId="0" applyFont="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73" fillId="40" borderId="36" xfId="0" applyFont="1" applyFill="1" applyBorder="1" applyAlignment="1">
      <alignment horizontal="center" vertical="center" wrapText="1"/>
    </xf>
    <xf numFmtId="0" fontId="73" fillId="40" borderId="36" xfId="0" applyFont="1" applyFill="1" applyBorder="1" applyAlignment="1">
      <alignment horizontal="center" vertical="center"/>
    </xf>
    <xf numFmtId="0" fontId="8" fillId="36" borderId="55" xfId="540" applyFont="1" applyFill="1" applyBorder="1" applyAlignment="1">
      <alignment horizontal="center" vertical="center" wrapText="1"/>
    </xf>
    <xf numFmtId="0" fontId="8" fillId="36" borderId="27" xfId="540" applyFont="1" applyFill="1" applyBorder="1" applyAlignment="1">
      <alignment horizontal="center" vertical="center" wrapText="1"/>
    </xf>
    <xf numFmtId="0" fontId="39" fillId="40" borderId="36" xfId="0" applyFont="1" applyFill="1" applyBorder="1" applyAlignment="1">
      <alignment horizontal="center" vertical="center" wrapText="1"/>
    </xf>
    <xf numFmtId="0" fontId="73" fillId="40" borderId="45" xfId="0" applyFont="1" applyFill="1" applyBorder="1" applyAlignment="1">
      <alignment horizontal="center" vertical="center" wrapText="1"/>
    </xf>
    <xf numFmtId="0" fontId="73" fillId="40" borderId="44" xfId="0" applyFont="1" applyFill="1" applyBorder="1" applyAlignment="1">
      <alignment horizontal="center" vertical="center" wrapText="1"/>
    </xf>
    <xf numFmtId="0" fontId="73" fillId="40" borderId="46" xfId="0" applyFont="1" applyFill="1" applyBorder="1" applyAlignment="1">
      <alignment horizontal="center" vertical="center" wrapText="1"/>
    </xf>
    <xf numFmtId="0" fontId="73" fillId="40" borderId="47" xfId="0" applyFont="1" applyFill="1" applyBorder="1" applyAlignment="1">
      <alignment horizontal="center" vertical="center" wrapText="1"/>
    </xf>
    <xf numFmtId="0" fontId="73" fillId="40" borderId="36" xfId="0" applyFont="1" applyFill="1" applyBorder="1" applyAlignment="1">
      <alignment horizontal="center" wrapText="1"/>
    </xf>
    <xf numFmtId="0" fontId="39" fillId="37" borderId="60" xfId="0" applyFont="1" applyFill="1" applyBorder="1" applyAlignment="1">
      <alignment horizontal="center" vertical="center" wrapText="1"/>
    </xf>
    <xf numFmtId="0" fontId="39" fillId="37" borderId="7" xfId="0" applyFont="1" applyFill="1" applyBorder="1" applyAlignment="1">
      <alignment horizontal="center" vertical="center" wrapText="1"/>
    </xf>
    <xf numFmtId="0" fontId="39" fillId="37" borderId="61" xfId="0" applyFont="1" applyFill="1" applyBorder="1" applyAlignment="1">
      <alignment horizontal="center" vertical="center" wrapText="1"/>
    </xf>
    <xf numFmtId="0" fontId="2" fillId="0" borderId="0" xfId="316" applyAlignment="1">
      <alignment horizontal="center" vertical="center" wrapText="1"/>
    </xf>
    <xf numFmtId="0" fontId="2" fillId="0" borderId="0" xfId="316" applyAlignment="1">
      <alignment horizontal="center" vertical="center"/>
    </xf>
    <xf numFmtId="0" fontId="2" fillId="0" borderId="36" xfId="316" applyBorder="1" applyAlignment="1">
      <alignment horizontal="center"/>
    </xf>
    <xf numFmtId="0" fontId="2" fillId="0" borderId="55" xfId="316" applyBorder="1" applyAlignment="1">
      <alignment horizontal="center"/>
    </xf>
    <xf numFmtId="0" fontId="2" fillId="0" borderId="27" xfId="316" applyBorder="1" applyAlignment="1">
      <alignment horizontal="center"/>
    </xf>
    <xf numFmtId="0" fontId="2" fillId="0" borderId="52" xfId="316" applyBorder="1" applyAlignment="1">
      <alignment horizontal="center"/>
    </xf>
    <xf numFmtId="167" fontId="39" fillId="2" borderId="0" xfId="279" applyFont="1" applyFill="1" applyAlignment="1">
      <alignment horizontal="center" vertical="center"/>
    </xf>
    <xf numFmtId="167" fontId="38" fillId="2" borderId="0" xfId="279" applyFont="1" applyFill="1" applyAlignment="1">
      <alignment horizontal="center" vertical="center" wrapText="1"/>
    </xf>
    <xf numFmtId="0" fontId="2" fillId="14" borderId="51" xfId="316" applyFill="1" applyBorder="1" applyAlignment="1">
      <alignment horizontal="left" wrapText="1"/>
    </xf>
    <xf numFmtId="0" fontId="2" fillId="14" borderId="0" xfId="316" applyFill="1" applyBorder="1" applyAlignment="1">
      <alignment horizontal="left" wrapText="1"/>
    </xf>
    <xf numFmtId="0" fontId="2" fillId="14" borderId="46" xfId="316" applyFill="1" applyBorder="1" applyAlignment="1">
      <alignment horizontal="left" wrapText="1"/>
    </xf>
    <xf numFmtId="0" fontId="2" fillId="14" borderId="26" xfId="316" applyFill="1" applyBorder="1" applyAlignment="1">
      <alignment horizontal="left" wrapText="1"/>
    </xf>
    <xf numFmtId="0" fontId="2" fillId="14" borderId="55" xfId="316" applyFill="1" applyBorder="1" applyAlignment="1">
      <alignment horizontal="center" vertical="center" wrapText="1"/>
    </xf>
    <xf numFmtId="0" fontId="2" fillId="14" borderId="27" xfId="316" applyFill="1" applyBorder="1" applyAlignment="1">
      <alignment horizontal="center" vertical="center" wrapText="1"/>
    </xf>
    <xf numFmtId="0" fontId="2" fillId="0" borderId="0" xfId="4" applyAlignment="1">
      <alignment horizontal="center" vertical="center"/>
    </xf>
    <xf numFmtId="0" fontId="40" fillId="2" borderId="0" xfId="278" applyFont="1" applyFill="1" applyAlignment="1">
      <alignment horizontal="center" vertical="center"/>
    </xf>
    <xf numFmtId="0" fontId="2" fillId="14" borderId="0" xfId="275" applyFont="1" applyFill="1" applyAlignment="1">
      <alignment horizontal="center" vertical="center" wrapText="1"/>
    </xf>
    <xf numFmtId="43" fontId="73" fillId="40" borderId="55" xfId="1" applyFont="1" applyFill="1" applyBorder="1" applyAlignment="1">
      <alignment horizontal="center"/>
    </xf>
    <xf numFmtId="43" fontId="73" fillId="40" borderId="52" xfId="1" applyFont="1" applyFill="1" applyBorder="1" applyAlignment="1">
      <alignment horizontal="center"/>
    </xf>
    <xf numFmtId="0" fontId="73" fillId="40" borderId="55" xfId="0" applyFont="1" applyFill="1" applyBorder="1" applyAlignment="1">
      <alignment horizontal="center" vertical="center"/>
    </xf>
    <xf numFmtId="0" fontId="73" fillId="40" borderId="52" xfId="0" applyFont="1" applyFill="1" applyBorder="1" applyAlignment="1">
      <alignment horizontal="center" vertical="center"/>
    </xf>
    <xf numFmtId="0" fontId="0" fillId="14" borderId="55" xfId="0" applyFill="1" applyBorder="1" applyAlignment="1">
      <alignment horizontal="center"/>
    </xf>
    <xf numFmtId="0" fontId="0" fillId="14" borderId="52" xfId="0" applyFill="1" applyBorder="1" applyAlignment="1">
      <alignment horizontal="center"/>
    </xf>
    <xf numFmtId="43" fontId="0" fillId="14" borderId="55" xfId="1" applyFont="1" applyFill="1" applyBorder="1" applyAlignment="1">
      <alignment horizontal="center"/>
    </xf>
    <xf numFmtId="43" fontId="0" fillId="14" borderId="52" xfId="1" applyFont="1" applyFill="1" applyBorder="1" applyAlignment="1">
      <alignment horizontal="center"/>
    </xf>
    <xf numFmtId="0" fontId="41" fillId="14" borderId="0" xfId="0" applyFont="1" applyFill="1" applyAlignment="1">
      <alignment horizontal="center" vertical="center"/>
    </xf>
    <xf numFmtId="0" fontId="41" fillId="14" borderId="0" xfId="0" applyFont="1" applyFill="1" applyAlignment="1">
      <alignment horizontal="center" vertical="center" wrapText="1"/>
    </xf>
    <xf numFmtId="0" fontId="0" fillId="14" borderId="0" xfId="0" applyFill="1" applyAlignment="1">
      <alignment horizontal="center" vertical="center" wrapText="1"/>
    </xf>
    <xf numFmtId="0" fontId="99" fillId="40" borderId="60" xfId="0" applyFont="1" applyFill="1" applyBorder="1" applyAlignment="1">
      <alignment horizontal="center" vertical="center" wrapText="1"/>
    </xf>
    <xf numFmtId="0" fontId="99" fillId="40" borderId="7" xfId="0" applyFont="1" applyFill="1" applyBorder="1" applyAlignment="1">
      <alignment horizontal="center" vertical="center" wrapText="1"/>
    </xf>
    <xf numFmtId="0" fontId="99" fillId="40" borderId="61" xfId="0" applyFont="1" applyFill="1" applyBorder="1" applyAlignment="1">
      <alignment horizontal="center" vertical="center" wrapText="1"/>
    </xf>
  </cellXfs>
  <cellStyles count="542">
    <cellStyle name="_Consumidores" xfId="5" xr:uid="{00000000-0005-0000-0000-000000000000}"/>
    <cellStyle name="_Consumidores_C-O&amp;M-Agua (Cap)" xfId="6" xr:uid="{00000000-0005-0000-0000-000001000000}"/>
    <cellStyle name="_Consumidores_C-O&amp;M-Agua (Dist)" xfId="7" xr:uid="{00000000-0005-0000-0000-000002000000}"/>
    <cellStyle name="_Consumidores_C-O&amp;M-Agua (Dist)_C-O&amp;M-Esgoto (Col)" xfId="8" xr:uid="{00000000-0005-0000-0000-000003000000}"/>
    <cellStyle name="_Consumidores_C-O&amp;M-Agua (Dist)_E-Adicionais" xfId="9" xr:uid="{00000000-0005-0000-0000-000004000000}"/>
    <cellStyle name="_Consumidores_C-O&amp;M-Agua (ETA)" xfId="10" xr:uid="{00000000-0005-0000-0000-000005000000}"/>
    <cellStyle name="_Consumidores_C-O&amp;M-Agua (ETA)_1" xfId="11" xr:uid="{00000000-0005-0000-0000-000006000000}"/>
    <cellStyle name="_Consumidores_C-O&amp;M-Agua (ETA)_C-O&amp;M-Agua (Cap)" xfId="12" xr:uid="{00000000-0005-0000-0000-000007000000}"/>
    <cellStyle name="_Consumidores_C-O&amp;M-Agua (ETA)_C-O&amp;M-Agua (Dist)" xfId="13" xr:uid="{00000000-0005-0000-0000-000008000000}"/>
    <cellStyle name="_Consumidores_C-O&amp;M-Agua (ETA)_C-O&amp;M-Agua (Dist)_C-O&amp;M-Esgoto (Col)" xfId="14" xr:uid="{00000000-0005-0000-0000-000009000000}"/>
    <cellStyle name="_Consumidores_C-O&amp;M-Agua (ETA)_C-O&amp;M-Agua (Dist)_E-Adicionais" xfId="15" xr:uid="{00000000-0005-0000-0000-00000A000000}"/>
    <cellStyle name="_Consumidores_C-O&amp;M-Agua (ETA)_C-O&amp;M-Agua (ETA)" xfId="16" xr:uid="{00000000-0005-0000-0000-00000B000000}"/>
    <cellStyle name="_Consumidores_C-O&amp;M-Agua (ETA)_C-O&amp;M-Esgoto (Col)" xfId="17" xr:uid="{00000000-0005-0000-0000-00000C000000}"/>
    <cellStyle name="_Consumidores_C-O&amp;M-Agua (ETA)_C-O&amp;M-Esgoto (Col)_1" xfId="18" xr:uid="{00000000-0005-0000-0000-00000D000000}"/>
    <cellStyle name="_Consumidores_C-O&amp;M-Agua (ETA)_C-O&amp;M-Esgoto (Col)_C-O&amp;M-Esgoto (Col)" xfId="19" xr:uid="{00000000-0005-0000-0000-00000E000000}"/>
    <cellStyle name="_Consumidores_C-O&amp;M-Agua (ETA)_C-O&amp;M-Esgoto (Col)_E-Adicionais" xfId="20" xr:uid="{00000000-0005-0000-0000-00000F000000}"/>
    <cellStyle name="_Consumidores_C-O&amp;M-Agua (ETA)_C-O&amp;M-Esgoto (Emi)" xfId="21" xr:uid="{00000000-0005-0000-0000-000010000000}"/>
    <cellStyle name="_Consumidores_C-O&amp;M-Agua (ETA)_C-O&amp;M-Esgoto (ETE)" xfId="22" xr:uid="{00000000-0005-0000-0000-000011000000}"/>
    <cellStyle name="_Consumidores_C-O&amp;M-Agua (ETA)_Controle" xfId="23" xr:uid="{00000000-0005-0000-0000-000012000000}"/>
    <cellStyle name="_Consumidores_C-O&amp;M-Agua (ETA)_Controle_C-O&amp;M-Esgoto (Col)" xfId="24" xr:uid="{00000000-0005-0000-0000-000013000000}"/>
    <cellStyle name="_Consumidores_C-O&amp;M-Agua (ETA)_Controle_E-Adicionais" xfId="25" xr:uid="{00000000-0005-0000-0000-000014000000}"/>
    <cellStyle name="_Consumidores_C-O&amp;M-Agua (ETA)_E-Adicionais" xfId="26" xr:uid="{00000000-0005-0000-0000-000015000000}"/>
    <cellStyle name="_Consumidores_C-O&amp;M-Agua (ETA)_E-Elevatorias" xfId="27" xr:uid="{00000000-0005-0000-0000-000016000000}"/>
    <cellStyle name="_Consumidores_C-O&amp;M-Agua (ETA)_E-Elevatorias_C-O&amp;M-Esgoto (Col)" xfId="28" xr:uid="{00000000-0005-0000-0000-000017000000}"/>
    <cellStyle name="_Consumidores_C-O&amp;M-Agua (ETA)_E-Elevatorias_E-Adicionais" xfId="29" xr:uid="{00000000-0005-0000-0000-000018000000}"/>
    <cellStyle name="_Consumidores_C-O&amp;M-Agua (ETA)_E-ETA-ETE" xfId="30" xr:uid="{00000000-0005-0000-0000-000019000000}"/>
    <cellStyle name="_Consumidores_C-O&amp;M-Agua (ETA)_E-ETA-ETE_C-O&amp;M-Esgoto (Col)" xfId="31" xr:uid="{00000000-0005-0000-0000-00001A000000}"/>
    <cellStyle name="_Consumidores_C-O&amp;M-Agua (ETA)_E-ETA-ETE_E-Adicionais" xfId="32" xr:uid="{00000000-0005-0000-0000-00001B000000}"/>
    <cellStyle name="_Consumidores_C-O&amp;M-Agua (ETA)_E-Fisicos-Agua (Cap)" xfId="33" xr:uid="{00000000-0005-0000-0000-00001C000000}"/>
    <cellStyle name="_Consumidores_C-O&amp;M-Agua (ETA)_E-Fisicos-Agua (Cap)_C-O&amp;M-Esgoto (Col)" xfId="34" xr:uid="{00000000-0005-0000-0000-00001D000000}"/>
    <cellStyle name="_Consumidores_C-O&amp;M-Agua (ETA)_E-Fisicos-Agua (Cap)_E-Adicionais" xfId="35" xr:uid="{00000000-0005-0000-0000-00001E000000}"/>
    <cellStyle name="_Consumidores_C-O&amp;M-Agua (ETA)_E-Fisicos-Agua (Dist)" xfId="36" xr:uid="{00000000-0005-0000-0000-00001F000000}"/>
    <cellStyle name="_Consumidores_C-O&amp;M-Agua (ETA)_E-Fisicos-Agua (Dist)_C-O&amp;M-Esgoto (Col)" xfId="37" xr:uid="{00000000-0005-0000-0000-000020000000}"/>
    <cellStyle name="_Consumidores_C-O&amp;M-Agua (ETA)_E-Fisicos-Agua (Dist)_E-Adicionais" xfId="38" xr:uid="{00000000-0005-0000-0000-000021000000}"/>
    <cellStyle name="_Consumidores_C-O&amp;M-Agua (ETA)_E-Fisicos-Agua (ETA)" xfId="39" xr:uid="{00000000-0005-0000-0000-000022000000}"/>
    <cellStyle name="_Consumidores_C-O&amp;M-Agua (ETA)_E-Fisicos-Agua (ETA)_C-O&amp;M-Esgoto (Col)" xfId="40" xr:uid="{00000000-0005-0000-0000-000023000000}"/>
    <cellStyle name="_Consumidores_C-O&amp;M-Agua (ETA)_E-Fisicos-Agua (ETA)_E-Adicionais" xfId="41" xr:uid="{00000000-0005-0000-0000-000024000000}"/>
    <cellStyle name="_Consumidores_C-O&amp;M-Agua (ETA)_E-Fisicos-Esgoto (Col)" xfId="42" xr:uid="{00000000-0005-0000-0000-000025000000}"/>
    <cellStyle name="_Consumidores_C-O&amp;M-Agua (ETA)_E-Fisicos-Esgoto (Col)_C-O&amp;M-Esgoto (Col)" xfId="43" xr:uid="{00000000-0005-0000-0000-000026000000}"/>
    <cellStyle name="_Consumidores_C-O&amp;M-Agua (ETA)_E-Fisicos-Esgoto (Col)_E-Adicionais" xfId="44" xr:uid="{00000000-0005-0000-0000-000027000000}"/>
    <cellStyle name="_Consumidores_C-O&amp;M-Esgoto (Col)" xfId="45" xr:uid="{00000000-0005-0000-0000-000028000000}"/>
    <cellStyle name="_Consumidores_C-O&amp;M-Esgoto (Col)_1" xfId="46" xr:uid="{00000000-0005-0000-0000-000029000000}"/>
    <cellStyle name="_Consumidores_C-O&amp;M-Esgoto (Col)_C-O&amp;M-Esgoto (Col)" xfId="47" xr:uid="{00000000-0005-0000-0000-00002A000000}"/>
    <cellStyle name="_Consumidores_C-O&amp;M-Esgoto (Col)_E-Adicionais" xfId="48" xr:uid="{00000000-0005-0000-0000-00002B000000}"/>
    <cellStyle name="_Consumidores_C-O&amp;M-Esgoto (Emi)" xfId="49" xr:uid="{00000000-0005-0000-0000-00002C000000}"/>
    <cellStyle name="_Consumidores_C-O&amp;M-Esgoto (ETE)" xfId="50" xr:uid="{00000000-0005-0000-0000-00002D000000}"/>
    <cellStyle name="_Consumidores_C-O&amp;M-Esgoto (ETE)_1" xfId="51" xr:uid="{00000000-0005-0000-0000-00002E000000}"/>
    <cellStyle name="_Consumidores_C-O&amp;M-Esgoto (ETE)_C-O&amp;M-Agua (Cap)" xfId="52" xr:uid="{00000000-0005-0000-0000-00002F000000}"/>
    <cellStyle name="_Consumidores_C-O&amp;M-Esgoto (ETE)_C-O&amp;M-Agua (Dist)" xfId="53" xr:uid="{00000000-0005-0000-0000-000030000000}"/>
    <cellStyle name="_Consumidores_C-O&amp;M-Esgoto (ETE)_C-O&amp;M-Agua (Dist)_C-O&amp;M-Esgoto (Col)" xfId="54" xr:uid="{00000000-0005-0000-0000-000031000000}"/>
    <cellStyle name="_Consumidores_C-O&amp;M-Esgoto (ETE)_C-O&amp;M-Agua (Dist)_E-Adicionais" xfId="55" xr:uid="{00000000-0005-0000-0000-000032000000}"/>
    <cellStyle name="_Consumidores_C-O&amp;M-Esgoto (ETE)_C-O&amp;M-Agua (ETA)" xfId="56" xr:uid="{00000000-0005-0000-0000-000033000000}"/>
    <cellStyle name="_Consumidores_C-O&amp;M-Esgoto (ETE)_C-O&amp;M-Esgoto (Col)" xfId="57" xr:uid="{00000000-0005-0000-0000-000034000000}"/>
    <cellStyle name="_Consumidores_C-O&amp;M-Esgoto (ETE)_C-O&amp;M-Esgoto (Col)_1" xfId="58" xr:uid="{00000000-0005-0000-0000-000035000000}"/>
    <cellStyle name="_Consumidores_C-O&amp;M-Esgoto (ETE)_C-O&amp;M-Esgoto (Col)_C-O&amp;M-Esgoto (Col)" xfId="59" xr:uid="{00000000-0005-0000-0000-000036000000}"/>
    <cellStyle name="_Consumidores_C-O&amp;M-Esgoto (ETE)_C-O&amp;M-Esgoto (Col)_E-Adicionais" xfId="60" xr:uid="{00000000-0005-0000-0000-000037000000}"/>
    <cellStyle name="_Consumidores_C-O&amp;M-Esgoto (ETE)_C-O&amp;M-Esgoto (Emi)" xfId="61" xr:uid="{00000000-0005-0000-0000-000038000000}"/>
    <cellStyle name="_Consumidores_C-O&amp;M-Esgoto (ETE)_C-O&amp;M-Esgoto (ETE)" xfId="62" xr:uid="{00000000-0005-0000-0000-000039000000}"/>
    <cellStyle name="_Consumidores_C-O&amp;M-Esgoto (ETE)_Controle" xfId="63" xr:uid="{00000000-0005-0000-0000-00003A000000}"/>
    <cellStyle name="_Consumidores_C-O&amp;M-Esgoto (ETE)_Controle_C-O&amp;M-Esgoto (Col)" xfId="64" xr:uid="{00000000-0005-0000-0000-00003B000000}"/>
    <cellStyle name="_Consumidores_C-O&amp;M-Esgoto (ETE)_Controle_E-Adicionais" xfId="65" xr:uid="{00000000-0005-0000-0000-00003C000000}"/>
    <cellStyle name="_Consumidores_C-O&amp;M-Esgoto (ETE)_E-Adicionais" xfId="66" xr:uid="{00000000-0005-0000-0000-00003D000000}"/>
    <cellStyle name="_Consumidores_C-O&amp;M-Esgoto (ETE)_E-Elevatorias" xfId="67" xr:uid="{00000000-0005-0000-0000-00003E000000}"/>
    <cellStyle name="_Consumidores_C-O&amp;M-Esgoto (ETE)_E-Elevatorias_C-O&amp;M-Esgoto (Col)" xfId="68" xr:uid="{00000000-0005-0000-0000-00003F000000}"/>
    <cellStyle name="_Consumidores_C-O&amp;M-Esgoto (ETE)_E-Elevatorias_E-Adicionais" xfId="69" xr:uid="{00000000-0005-0000-0000-000040000000}"/>
    <cellStyle name="_Consumidores_C-O&amp;M-Esgoto (ETE)_E-ETA-ETE" xfId="70" xr:uid="{00000000-0005-0000-0000-000041000000}"/>
    <cellStyle name="_Consumidores_C-O&amp;M-Esgoto (ETE)_E-ETA-ETE_C-O&amp;M-Esgoto (Col)" xfId="71" xr:uid="{00000000-0005-0000-0000-000042000000}"/>
    <cellStyle name="_Consumidores_C-O&amp;M-Esgoto (ETE)_E-ETA-ETE_E-Adicionais" xfId="72" xr:uid="{00000000-0005-0000-0000-000043000000}"/>
    <cellStyle name="_Consumidores_C-O&amp;M-Esgoto (ETE)_E-Fisicos-Agua (Cap)" xfId="73" xr:uid="{00000000-0005-0000-0000-000044000000}"/>
    <cellStyle name="_Consumidores_C-O&amp;M-Esgoto (ETE)_E-Fisicos-Agua (Cap)_C-O&amp;M-Esgoto (Col)" xfId="74" xr:uid="{00000000-0005-0000-0000-000045000000}"/>
    <cellStyle name="_Consumidores_C-O&amp;M-Esgoto (ETE)_E-Fisicos-Agua (Cap)_E-Adicionais" xfId="75" xr:uid="{00000000-0005-0000-0000-000046000000}"/>
    <cellStyle name="_Consumidores_C-O&amp;M-Esgoto (ETE)_E-Fisicos-Agua (Dist)" xfId="76" xr:uid="{00000000-0005-0000-0000-000047000000}"/>
    <cellStyle name="_Consumidores_C-O&amp;M-Esgoto (ETE)_E-Fisicos-Agua (Dist)_C-O&amp;M-Esgoto (Col)" xfId="77" xr:uid="{00000000-0005-0000-0000-000048000000}"/>
    <cellStyle name="_Consumidores_C-O&amp;M-Esgoto (ETE)_E-Fisicos-Agua (Dist)_E-Adicionais" xfId="78" xr:uid="{00000000-0005-0000-0000-000049000000}"/>
    <cellStyle name="_Consumidores_C-O&amp;M-Esgoto (ETE)_E-Fisicos-Agua (ETA)" xfId="79" xr:uid="{00000000-0005-0000-0000-00004A000000}"/>
    <cellStyle name="_Consumidores_C-O&amp;M-Esgoto (ETE)_E-Fisicos-Agua (ETA)_C-O&amp;M-Esgoto (Col)" xfId="80" xr:uid="{00000000-0005-0000-0000-00004B000000}"/>
    <cellStyle name="_Consumidores_C-O&amp;M-Esgoto (ETE)_E-Fisicos-Agua (ETA)_E-Adicionais" xfId="81" xr:uid="{00000000-0005-0000-0000-00004C000000}"/>
    <cellStyle name="_Consumidores_C-O&amp;M-Esgoto (ETE)_E-Fisicos-Esgoto (Col)" xfId="82" xr:uid="{00000000-0005-0000-0000-00004D000000}"/>
    <cellStyle name="_Consumidores_C-O&amp;M-Esgoto (ETE)_E-Fisicos-Esgoto (Col)_C-O&amp;M-Esgoto (Col)" xfId="83" xr:uid="{00000000-0005-0000-0000-00004E000000}"/>
    <cellStyle name="_Consumidores_C-O&amp;M-Esgoto (ETE)_E-Fisicos-Esgoto (Col)_E-Adicionais" xfId="84" xr:uid="{00000000-0005-0000-0000-00004F000000}"/>
    <cellStyle name="_Consumidores_Controle" xfId="85" xr:uid="{00000000-0005-0000-0000-000050000000}"/>
    <cellStyle name="_Consumidores_Controle_C-O&amp;M-Esgoto (Col)" xfId="86" xr:uid="{00000000-0005-0000-0000-000051000000}"/>
    <cellStyle name="_Consumidores_Controle_E-Adicionais" xfId="87" xr:uid="{00000000-0005-0000-0000-000052000000}"/>
    <cellStyle name="_Consumidores_E-Adicionais" xfId="88" xr:uid="{00000000-0005-0000-0000-000053000000}"/>
    <cellStyle name="_Consumidores_E-Elevatorias" xfId="89" xr:uid="{00000000-0005-0000-0000-000054000000}"/>
    <cellStyle name="_Consumidores_E-Elevatorias_C-O&amp;M-Esgoto (Col)" xfId="90" xr:uid="{00000000-0005-0000-0000-000055000000}"/>
    <cellStyle name="_Consumidores_E-Elevatorias_E-Adicionais" xfId="91" xr:uid="{00000000-0005-0000-0000-000056000000}"/>
    <cellStyle name="_Consumidores_E-ETA-ETE" xfId="92" xr:uid="{00000000-0005-0000-0000-000057000000}"/>
    <cellStyle name="_Consumidores_E-ETA-ETE_C-O&amp;M-Esgoto (Col)" xfId="93" xr:uid="{00000000-0005-0000-0000-000058000000}"/>
    <cellStyle name="_Consumidores_E-ETA-ETE_E-Adicionais" xfId="94" xr:uid="{00000000-0005-0000-0000-000059000000}"/>
    <cellStyle name="_Consumidores_E-Fisicos-Agua (Cap)" xfId="95" xr:uid="{00000000-0005-0000-0000-00005A000000}"/>
    <cellStyle name="_Consumidores_E-Fisicos-Agua (Cap)_C-O&amp;M-Esgoto (Col)" xfId="96" xr:uid="{00000000-0005-0000-0000-00005B000000}"/>
    <cellStyle name="_Consumidores_E-Fisicos-Agua (Cap)_E-Adicionais" xfId="97" xr:uid="{00000000-0005-0000-0000-00005C000000}"/>
    <cellStyle name="_Consumidores_E-Fisicos-Agua (Dist)" xfId="98" xr:uid="{00000000-0005-0000-0000-00005D000000}"/>
    <cellStyle name="_Consumidores_E-Fisicos-Agua (Dist)_C-O&amp;M-Esgoto (Col)" xfId="99" xr:uid="{00000000-0005-0000-0000-00005E000000}"/>
    <cellStyle name="_Consumidores_E-Fisicos-Agua (Dist)_E-Adicionais" xfId="100" xr:uid="{00000000-0005-0000-0000-00005F000000}"/>
    <cellStyle name="_Consumidores_E-Fisicos-Agua (ETA)" xfId="101" xr:uid="{00000000-0005-0000-0000-000060000000}"/>
    <cellStyle name="_Consumidores_E-Fisicos-Agua (ETA)_C-O&amp;M-Esgoto (Col)" xfId="102" xr:uid="{00000000-0005-0000-0000-000061000000}"/>
    <cellStyle name="_Consumidores_E-Fisicos-Agua (ETA)_E-Adicionais" xfId="103" xr:uid="{00000000-0005-0000-0000-000062000000}"/>
    <cellStyle name="_Consumidores_E-Fisicos-Esgoto (Col)" xfId="104" xr:uid="{00000000-0005-0000-0000-000063000000}"/>
    <cellStyle name="_Consumidores_E-Fisicos-Esgoto (Col)_C-O&amp;M-Esgoto (Col)" xfId="105" xr:uid="{00000000-0005-0000-0000-000064000000}"/>
    <cellStyle name="_Consumidores_E-Fisicos-Esgoto (Col)_E-Adicionais" xfId="106" xr:uid="{00000000-0005-0000-0000-000065000000}"/>
    <cellStyle name="_Consumidores_MODELO ER - ADASA (v 0.7) Marcelo" xfId="107" xr:uid="{00000000-0005-0000-0000-000066000000}"/>
    <cellStyle name="_Consumidores_MODELO ER - ADASA (v 0.7) Marcelo_C-O&amp;M-Esgoto (Col)" xfId="108" xr:uid="{00000000-0005-0000-0000-000067000000}"/>
    <cellStyle name="_Consumidores_MODELO ER - ADASA (v 0.7) Marcelo_E-Adicionais" xfId="109" xr:uid="{00000000-0005-0000-0000-000068000000}"/>
    <cellStyle name="_Consumidores_Sheet1" xfId="110" xr:uid="{00000000-0005-0000-0000-000069000000}"/>
    <cellStyle name="_Consumidores_Sheet1_C-O&amp;M-Agua (Cap)" xfId="111" xr:uid="{00000000-0005-0000-0000-00006A000000}"/>
    <cellStyle name="_Consumidores_Sheet1_C-O&amp;M-Agua (Dist)" xfId="112" xr:uid="{00000000-0005-0000-0000-00006B000000}"/>
    <cellStyle name="_Consumidores_Sheet1_C-O&amp;M-Agua (Dist)_C-O&amp;M-Esgoto (Col)" xfId="113" xr:uid="{00000000-0005-0000-0000-00006C000000}"/>
    <cellStyle name="_Consumidores_Sheet1_C-O&amp;M-Agua (Dist)_E-Adicionais" xfId="114" xr:uid="{00000000-0005-0000-0000-00006D000000}"/>
    <cellStyle name="_Consumidores_Sheet1_C-O&amp;M-Agua (ETA)" xfId="115" xr:uid="{00000000-0005-0000-0000-00006E000000}"/>
    <cellStyle name="_Consumidores_Sheet1_C-O&amp;M-Esgoto (Col)" xfId="116" xr:uid="{00000000-0005-0000-0000-00006F000000}"/>
    <cellStyle name="_Consumidores_Sheet1_C-O&amp;M-Esgoto (Col)_1" xfId="117" xr:uid="{00000000-0005-0000-0000-000070000000}"/>
    <cellStyle name="_Consumidores_Sheet1_C-O&amp;M-Esgoto (Col)_C-O&amp;M-Esgoto (Col)" xfId="118" xr:uid="{00000000-0005-0000-0000-000071000000}"/>
    <cellStyle name="_Consumidores_Sheet1_C-O&amp;M-Esgoto (Col)_E-Adicionais" xfId="119" xr:uid="{00000000-0005-0000-0000-000072000000}"/>
    <cellStyle name="_Consumidores_Sheet1_C-O&amp;M-Esgoto (Emi)" xfId="120" xr:uid="{00000000-0005-0000-0000-000073000000}"/>
    <cellStyle name="_Consumidores_Sheet1_C-O&amp;M-Esgoto (ETE)" xfId="121" xr:uid="{00000000-0005-0000-0000-000074000000}"/>
    <cellStyle name="_Consumidores_Sheet1_Controle" xfId="122" xr:uid="{00000000-0005-0000-0000-000075000000}"/>
    <cellStyle name="_Consumidores_Sheet1_Controle_C-O&amp;M-Esgoto (Col)" xfId="123" xr:uid="{00000000-0005-0000-0000-000076000000}"/>
    <cellStyle name="_Consumidores_Sheet1_Controle_E-Adicionais" xfId="124" xr:uid="{00000000-0005-0000-0000-000077000000}"/>
    <cellStyle name="_Consumidores_Sheet1_E-Adicionais" xfId="125" xr:uid="{00000000-0005-0000-0000-000078000000}"/>
    <cellStyle name="_Consumidores_Sheet1_E-Elevatorias" xfId="126" xr:uid="{00000000-0005-0000-0000-000079000000}"/>
    <cellStyle name="_Consumidores_Sheet1_E-Elevatorias_C-O&amp;M-Esgoto (Col)" xfId="127" xr:uid="{00000000-0005-0000-0000-00007A000000}"/>
    <cellStyle name="_Consumidores_Sheet1_E-Elevatorias_E-Adicionais" xfId="128" xr:uid="{00000000-0005-0000-0000-00007B000000}"/>
    <cellStyle name="_Consumidores_Sheet1_E-ETA-ETE" xfId="129" xr:uid="{00000000-0005-0000-0000-00007C000000}"/>
    <cellStyle name="_Consumidores_Sheet1_E-ETA-ETE_C-O&amp;M-Esgoto (Col)" xfId="130" xr:uid="{00000000-0005-0000-0000-00007D000000}"/>
    <cellStyle name="_Consumidores_Sheet1_E-ETA-ETE_E-Adicionais" xfId="131" xr:uid="{00000000-0005-0000-0000-00007E000000}"/>
    <cellStyle name="_Consumidores_Sheet1_E-Fisicos-Agua (Cap)" xfId="132" xr:uid="{00000000-0005-0000-0000-00007F000000}"/>
    <cellStyle name="_Consumidores_Sheet1_E-Fisicos-Agua (Cap)_C-O&amp;M-Esgoto (Col)" xfId="133" xr:uid="{00000000-0005-0000-0000-000080000000}"/>
    <cellStyle name="_Consumidores_Sheet1_E-Fisicos-Agua (Cap)_E-Adicionais" xfId="134" xr:uid="{00000000-0005-0000-0000-000081000000}"/>
    <cellStyle name="_Consumidores_Sheet1_E-Fisicos-Agua (Dist)" xfId="135" xr:uid="{00000000-0005-0000-0000-000082000000}"/>
    <cellStyle name="_Consumidores_Sheet1_E-Fisicos-Agua (Dist)_C-O&amp;M-Esgoto (Col)" xfId="136" xr:uid="{00000000-0005-0000-0000-000083000000}"/>
    <cellStyle name="_Consumidores_Sheet1_E-Fisicos-Agua (Dist)_E-Adicionais" xfId="137" xr:uid="{00000000-0005-0000-0000-000084000000}"/>
    <cellStyle name="_Consumidores_Sheet1_E-Fisicos-Agua (ETA)" xfId="138" xr:uid="{00000000-0005-0000-0000-000085000000}"/>
    <cellStyle name="_Consumidores_Sheet1_E-Fisicos-Agua (ETA)_C-O&amp;M-Esgoto (Col)" xfId="139" xr:uid="{00000000-0005-0000-0000-000086000000}"/>
    <cellStyle name="_Consumidores_Sheet1_E-Fisicos-Agua (ETA)_E-Adicionais" xfId="140" xr:uid="{00000000-0005-0000-0000-000087000000}"/>
    <cellStyle name="_Consumidores_Sheet1_E-Fisicos-Esgoto (Col)" xfId="141" xr:uid="{00000000-0005-0000-0000-000088000000}"/>
    <cellStyle name="_Consumidores_Sheet1_E-Fisicos-Esgoto (Col)_C-O&amp;M-Esgoto (Col)" xfId="142" xr:uid="{00000000-0005-0000-0000-000089000000}"/>
    <cellStyle name="_Consumidores_Sheet1_E-Fisicos-Esgoto (Col)_E-Adicionais" xfId="143" xr:uid="{00000000-0005-0000-0000-00008A000000}"/>
    <cellStyle name="_Consumidores_Sheet2" xfId="144" xr:uid="{00000000-0005-0000-0000-00008B000000}"/>
    <cellStyle name="_Consumidores_Sheet2_C-O&amp;M-Agua (Cap)" xfId="145" xr:uid="{00000000-0005-0000-0000-00008C000000}"/>
    <cellStyle name="_Consumidores_Sheet2_C-O&amp;M-Agua (Dist)" xfId="146" xr:uid="{00000000-0005-0000-0000-00008D000000}"/>
    <cellStyle name="_Consumidores_Sheet2_C-O&amp;M-Agua (Dist)_C-O&amp;M-Esgoto (Col)" xfId="147" xr:uid="{00000000-0005-0000-0000-00008E000000}"/>
    <cellStyle name="_Consumidores_Sheet2_C-O&amp;M-Agua (Dist)_E-Adicionais" xfId="148" xr:uid="{00000000-0005-0000-0000-00008F000000}"/>
    <cellStyle name="_Consumidores_Sheet2_C-O&amp;M-Agua (ETA)" xfId="149" xr:uid="{00000000-0005-0000-0000-000090000000}"/>
    <cellStyle name="_Consumidores_Sheet2_C-O&amp;M-Esgoto (Col)" xfId="150" xr:uid="{00000000-0005-0000-0000-000091000000}"/>
    <cellStyle name="_Consumidores_Sheet2_C-O&amp;M-Esgoto (Col)_1" xfId="151" xr:uid="{00000000-0005-0000-0000-000092000000}"/>
    <cellStyle name="_Consumidores_Sheet2_C-O&amp;M-Esgoto (Col)_C-O&amp;M-Esgoto (Col)" xfId="152" xr:uid="{00000000-0005-0000-0000-000093000000}"/>
    <cellStyle name="_Consumidores_Sheet2_C-O&amp;M-Esgoto (Col)_E-Adicionais" xfId="153" xr:uid="{00000000-0005-0000-0000-000094000000}"/>
    <cellStyle name="_Consumidores_Sheet2_C-O&amp;M-Esgoto (Emi)" xfId="154" xr:uid="{00000000-0005-0000-0000-000095000000}"/>
    <cellStyle name="_Consumidores_Sheet2_C-O&amp;M-Esgoto (ETE)" xfId="155" xr:uid="{00000000-0005-0000-0000-000096000000}"/>
    <cellStyle name="_Consumidores_Sheet2_Controle" xfId="156" xr:uid="{00000000-0005-0000-0000-000097000000}"/>
    <cellStyle name="_Consumidores_Sheet2_Controle_C-O&amp;M-Esgoto (Col)" xfId="157" xr:uid="{00000000-0005-0000-0000-000098000000}"/>
    <cellStyle name="_Consumidores_Sheet2_Controle_E-Adicionais" xfId="158" xr:uid="{00000000-0005-0000-0000-000099000000}"/>
    <cellStyle name="_Consumidores_Sheet2_E-Adicionais" xfId="159" xr:uid="{00000000-0005-0000-0000-00009A000000}"/>
    <cellStyle name="_Consumidores_Sheet2_E-Elevatorias" xfId="160" xr:uid="{00000000-0005-0000-0000-00009B000000}"/>
    <cellStyle name="_Consumidores_Sheet2_E-Elevatorias_C-O&amp;M-Esgoto (Col)" xfId="161" xr:uid="{00000000-0005-0000-0000-00009C000000}"/>
    <cellStyle name="_Consumidores_Sheet2_E-Elevatorias_E-Adicionais" xfId="162" xr:uid="{00000000-0005-0000-0000-00009D000000}"/>
    <cellStyle name="_Consumidores_Sheet2_E-ETA-ETE" xfId="163" xr:uid="{00000000-0005-0000-0000-00009E000000}"/>
    <cellStyle name="_Consumidores_Sheet2_E-ETA-ETE_C-O&amp;M-Esgoto (Col)" xfId="164" xr:uid="{00000000-0005-0000-0000-00009F000000}"/>
    <cellStyle name="_Consumidores_Sheet2_E-ETA-ETE_E-Adicionais" xfId="165" xr:uid="{00000000-0005-0000-0000-0000A0000000}"/>
    <cellStyle name="_Consumidores_Sheet2_E-Fisicos-Agua (Cap)" xfId="166" xr:uid="{00000000-0005-0000-0000-0000A1000000}"/>
    <cellStyle name="_Consumidores_Sheet2_E-Fisicos-Agua (Cap)_C-O&amp;M-Esgoto (Col)" xfId="167" xr:uid="{00000000-0005-0000-0000-0000A2000000}"/>
    <cellStyle name="_Consumidores_Sheet2_E-Fisicos-Agua (Cap)_E-Adicionais" xfId="168" xr:uid="{00000000-0005-0000-0000-0000A3000000}"/>
    <cellStyle name="_Consumidores_Sheet2_E-Fisicos-Agua (Dist)" xfId="169" xr:uid="{00000000-0005-0000-0000-0000A4000000}"/>
    <cellStyle name="_Consumidores_Sheet2_E-Fisicos-Agua (Dist)_C-O&amp;M-Esgoto (Col)" xfId="170" xr:uid="{00000000-0005-0000-0000-0000A5000000}"/>
    <cellStyle name="_Consumidores_Sheet2_E-Fisicos-Agua (Dist)_E-Adicionais" xfId="171" xr:uid="{00000000-0005-0000-0000-0000A6000000}"/>
    <cellStyle name="_Consumidores_Sheet2_E-Fisicos-Agua (ETA)" xfId="172" xr:uid="{00000000-0005-0000-0000-0000A7000000}"/>
    <cellStyle name="_Consumidores_Sheet2_E-Fisicos-Agua (ETA)_C-O&amp;M-Esgoto (Col)" xfId="173" xr:uid="{00000000-0005-0000-0000-0000A8000000}"/>
    <cellStyle name="_Consumidores_Sheet2_E-Fisicos-Agua (ETA)_E-Adicionais" xfId="174" xr:uid="{00000000-0005-0000-0000-0000A9000000}"/>
    <cellStyle name="_Consumidores_Sheet2_E-Fisicos-Esgoto (Col)" xfId="175" xr:uid="{00000000-0005-0000-0000-0000AA000000}"/>
    <cellStyle name="_Consumidores_Sheet2_E-Fisicos-Esgoto (Col)_C-O&amp;M-Esgoto (Col)" xfId="176" xr:uid="{00000000-0005-0000-0000-0000AB000000}"/>
    <cellStyle name="_Consumidores_Sheet2_E-Fisicos-Esgoto (Col)_E-Adicionais" xfId="177" xr:uid="{00000000-0005-0000-0000-0000AC000000}"/>
    <cellStyle name="_Consumidores_Sheet3" xfId="178" xr:uid="{00000000-0005-0000-0000-0000AD000000}"/>
    <cellStyle name="_Consumidores_Sheet3_C-O&amp;M-Agua (Cap)" xfId="179" xr:uid="{00000000-0005-0000-0000-0000AE000000}"/>
    <cellStyle name="_Consumidores_Sheet3_C-O&amp;M-Agua (Dist)" xfId="180" xr:uid="{00000000-0005-0000-0000-0000AF000000}"/>
    <cellStyle name="_Consumidores_Sheet3_C-O&amp;M-Agua (Dist)_C-O&amp;M-Esgoto (Col)" xfId="181" xr:uid="{00000000-0005-0000-0000-0000B0000000}"/>
    <cellStyle name="_Consumidores_Sheet3_C-O&amp;M-Agua (Dist)_E-Adicionais" xfId="182" xr:uid="{00000000-0005-0000-0000-0000B1000000}"/>
    <cellStyle name="_Consumidores_Sheet3_C-O&amp;M-Agua (ETA)" xfId="183" xr:uid="{00000000-0005-0000-0000-0000B2000000}"/>
    <cellStyle name="_Consumidores_Sheet3_C-O&amp;M-Esgoto (Col)" xfId="184" xr:uid="{00000000-0005-0000-0000-0000B3000000}"/>
    <cellStyle name="_Consumidores_Sheet3_C-O&amp;M-Esgoto (Col)_1" xfId="185" xr:uid="{00000000-0005-0000-0000-0000B4000000}"/>
    <cellStyle name="_Consumidores_Sheet3_C-O&amp;M-Esgoto (Col)_C-O&amp;M-Esgoto (Col)" xfId="186" xr:uid="{00000000-0005-0000-0000-0000B5000000}"/>
    <cellStyle name="_Consumidores_Sheet3_C-O&amp;M-Esgoto (Col)_E-Adicionais" xfId="187" xr:uid="{00000000-0005-0000-0000-0000B6000000}"/>
    <cellStyle name="_Consumidores_Sheet3_C-O&amp;M-Esgoto (Emi)" xfId="188" xr:uid="{00000000-0005-0000-0000-0000B7000000}"/>
    <cellStyle name="_Consumidores_Sheet3_C-O&amp;M-Esgoto (ETE)" xfId="189" xr:uid="{00000000-0005-0000-0000-0000B8000000}"/>
    <cellStyle name="_Consumidores_Sheet3_Controle" xfId="190" xr:uid="{00000000-0005-0000-0000-0000B9000000}"/>
    <cellStyle name="_Consumidores_Sheet3_Controle_C-O&amp;M-Esgoto (Col)" xfId="191" xr:uid="{00000000-0005-0000-0000-0000BA000000}"/>
    <cellStyle name="_Consumidores_Sheet3_Controle_E-Adicionais" xfId="192" xr:uid="{00000000-0005-0000-0000-0000BB000000}"/>
    <cellStyle name="_Consumidores_Sheet3_E-Adicionais" xfId="193" xr:uid="{00000000-0005-0000-0000-0000BC000000}"/>
    <cellStyle name="_Consumidores_Sheet3_E-Elevatorias" xfId="194" xr:uid="{00000000-0005-0000-0000-0000BD000000}"/>
    <cellStyle name="_Consumidores_Sheet3_E-Elevatorias_C-O&amp;M-Esgoto (Col)" xfId="195" xr:uid="{00000000-0005-0000-0000-0000BE000000}"/>
    <cellStyle name="_Consumidores_Sheet3_E-Elevatorias_E-Adicionais" xfId="196" xr:uid="{00000000-0005-0000-0000-0000BF000000}"/>
    <cellStyle name="_Consumidores_Sheet3_E-ETA-ETE" xfId="197" xr:uid="{00000000-0005-0000-0000-0000C0000000}"/>
    <cellStyle name="_Consumidores_Sheet3_E-ETA-ETE_C-O&amp;M-Esgoto (Col)" xfId="198" xr:uid="{00000000-0005-0000-0000-0000C1000000}"/>
    <cellStyle name="_Consumidores_Sheet3_E-ETA-ETE_E-Adicionais" xfId="199" xr:uid="{00000000-0005-0000-0000-0000C2000000}"/>
    <cellStyle name="_Consumidores_Sheet3_E-Fisicos-Agua (Cap)" xfId="200" xr:uid="{00000000-0005-0000-0000-0000C3000000}"/>
    <cellStyle name="_Consumidores_Sheet3_E-Fisicos-Agua (Cap)_C-O&amp;M-Esgoto (Col)" xfId="201" xr:uid="{00000000-0005-0000-0000-0000C4000000}"/>
    <cellStyle name="_Consumidores_Sheet3_E-Fisicos-Agua (Cap)_E-Adicionais" xfId="202" xr:uid="{00000000-0005-0000-0000-0000C5000000}"/>
    <cellStyle name="_Consumidores_Sheet3_E-Fisicos-Agua (Dist)" xfId="203" xr:uid="{00000000-0005-0000-0000-0000C6000000}"/>
    <cellStyle name="_Consumidores_Sheet3_E-Fisicos-Agua (Dist)_C-O&amp;M-Esgoto (Col)" xfId="204" xr:uid="{00000000-0005-0000-0000-0000C7000000}"/>
    <cellStyle name="_Consumidores_Sheet3_E-Fisicos-Agua (Dist)_E-Adicionais" xfId="205" xr:uid="{00000000-0005-0000-0000-0000C8000000}"/>
    <cellStyle name="_Consumidores_Sheet3_E-Fisicos-Agua (ETA)" xfId="206" xr:uid="{00000000-0005-0000-0000-0000C9000000}"/>
    <cellStyle name="_Consumidores_Sheet3_E-Fisicos-Agua (ETA)_C-O&amp;M-Esgoto (Col)" xfId="207" xr:uid="{00000000-0005-0000-0000-0000CA000000}"/>
    <cellStyle name="_Consumidores_Sheet3_E-Fisicos-Agua (ETA)_E-Adicionais" xfId="208" xr:uid="{00000000-0005-0000-0000-0000CB000000}"/>
    <cellStyle name="_Consumidores_Sheet3_E-Fisicos-Esgoto (Col)" xfId="209" xr:uid="{00000000-0005-0000-0000-0000CC000000}"/>
    <cellStyle name="_Consumidores_Sheet3_E-Fisicos-Esgoto (Col)_C-O&amp;M-Esgoto (Col)" xfId="210" xr:uid="{00000000-0005-0000-0000-0000CD000000}"/>
    <cellStyle name="_Consumidores_Sheet3_E-Fisicos-Esgoto (Col)_E-Adicionais" xfId="211" xr:uid="{00000000-0005-0000-0000-0000CE000000}"/>
    <cellStyle name="_LIGHT_2_CICLO_DADOS_INICIAIS" xfId="212" xr:uid="{00000000-0005-0000-0000-0000CF000000}"/>
    <cellStyle name="_LIGHT_2_CICLO_DADOS_INICIAIS_C-O&amp;M-Esgoto (Col)" xfId="213" xr:uid="{00000000-0005-0000-0000-0000D0000000}"/>
    <cellStyle name="_LIGHT_2_CICLO_DADOS_INICIAIS_E-Adicionais" xfId="214" xr:uid="{00000000-0005-0000-0000-0000D1000000}"/>
    <cellStyle name="_Regra 2008_Modelo ELPA_Dados ELPA_2MAR2009" xfId="215" xr:uid="{00000000-0005-0000-0000-0000D2000000}"/>
    <cellStyle name="=C:\WINNT\SYSTEM32\COMMAND.COM" xfId="216" xr:uid="{00000000-0005-0000-0000-0000D3000000}"/>
    <cellStyle name="1o.nível" xfId="217" xr:uid="{00000000-0005-0000-0000-0000D4000000}"/>
    <cellStyle name="20% - Accent1 2" xfId="322" xr:uid="{00000000-0005-0000-0000-0000D5000000}"/>
    <cellStyle name="20% - Accent2 2" xfId="323" xr:uid="{00000000-0005-0000-0000-0000D6000000}"/>
    <cellStyle name="20% - Accent3 2" xfId="324" xr:uid="{00000000-0005-0000-0000-0000D7000000}"/>
    <cellStyle name="20% - Accent4 2" xfId="325" xr:uid="{00000000-0005-0000-0000-0000D8000000}"/>
    <cellStyle name="20% - Accent5 2" xfId="326" xr:uid="{00000000-0005-0000-0000-0000D9000000}"/>
    <cellStyle name="20% - Accent6 2" xfId="327" xr:uid="{00000000-0005-0000-0000-0000DA000000}"/>
    <cellStyle name="20% - Ênfase1" xfId="328" xr:uid="{00000000-0005-0000-0000-0000DB000000}"/>
    <cellStyle name="20% - Ênfase2" xfId="329" xr:uid="{00000000-0005-0000-0000-0000DC000000}"/>
    <cellStyle name="20% - Ênfase3" xfId="330" xr:uid="{00000000-0005-0000-0000-0000DD000000}"/>
    <cellStyle name="20% - Ênfase4" xfId="331" xr:uid="{00000000-0005-0000-0000-0000DE000000}"/>
    <cellStyle name="20% - Ênfase5" xfId="332" xr:uid="{00000000-0005-0000-0000-0000DF000000}"/>
    <cellStyle name="20% - Ênfase6" xfId="333" xr:uid="{00000000-0005-0000-0000-0000E0000000}"/>
    <cellStyle name="2o.nível" xfId="218" xr:uid="{00000000-0005-0000-0000-0000E1000000}"/>
    <cellStyle name="40% - Accent1 2" xfId="334" xr:uid="{00000000-0005-0000-0000-0000E2000000}"/>
    <cellStyle name="40% - Accent2 2" xfId="335" xr:uid="{00000000-0005-0000-0000-0000E3000000}"/>
    <cellStyle name="40% - Accent3 2" xfId="336" xr:uid="{00000000-0005-0000-0000-0000E4000000}"/>
    <cellStyle name="40% - Accent4 2" xfId="337" xr:uid="{00000000-0005-0000-0000-0000E5000000}"/>
    <cellStyle name="40% - Accent5 2" xfId="338" xr:uid="{00000000-0005-0000-0000-0000E6000000}"/>
    <cellStyle name="40% - Accent6 2" xfId="339" xr:uid="{00000000-0005-0000-0000-0000E7000000}"/>
    <cellStyle name="40% - Ênfase1" xfId="340" xr:uid="{00000000-0005-0000-0000-0000E8000000}"/>
    <cellStyle name="40% - Ênfase2" xfId="341" xr:uid="{00000000-0005-0000-0000-0000E9000000}"/>
    <cellStyle name="40% - Ênfase3" xfId="342" xr:uid="{00000000-0005-0000-0000-0000EA000000}"/>
    <cellStyle name="40% - Ênfase4" xfId="343" xr:uid="{00000000-0005-0000-0000-0000EB000000}"/>
    <cellStyle name="40% - Ênfase5" xfId="344" xr:uid="{00000000-0005-0000-0000-0000EC000000}"/>
    <cellStyle name="40% - Ênfase6" xfId="345" xr:uid="{00000000-0005-0000-0000-0000ED000000}"/>
    <cellStyle name="60% - Accent1 2" xfId="346" xr:uid="{00000000-0005-0000-0000-0000EE000000}"/>
    <cellStyle name="60% - Accent2 2" xfId="347" xr:uid="{00000000-0005-0000-0000-0000EF000000}"/>
    <cellStyle name="60% - Accent3 2" xfId="348" xr:uid="{00000000-0005-0000-0000-0000F0000000}"/>
    <cellStyle name="60% - Accent4 2" xfId="349" xr:uid="{00000000-0005-0000-0000-0000F1000000}"/>
    <cellStyle name="60% - Accent5 2" xfId="350" xr:uid="{00000000-0005-0000-0000-0000F2000000}"/>
    <cellStyle name="60% - Accent6 2" xfId="351" xr:uid="{00000000-0005-0000-0000-0000F3000000}"/>
    <cellStyle name="60% - Ênfase1" xfId="352" xr:uid="{00000000-0005-0000-0000-0000F4000000}"/>
    <cellStyle name="60% - Ênfase2" xfId="353" xr:uid="{00000000-0005-0000-0000-0000F5000000}"/>
    <cellStyle name="60% - Ênfase3" xfId="354" xr:uid="{00000000-0005-0000-0000-0000F6000000}"/>
    <cellStyle name="60% - Ênfase4" xfId="355" xr:uid="{00000000-0005-0000-0000-0000F7000000}"/>
    <cellStyle name="60% - Ênfase5" xfId="356" xr:uid="{00000000-0005-0000-0000-0000F8000000}"/>
    <cellStyle name="60% - Ênfase6" xfId="357" xr:uid="{00000000-0005-0000-0000-0000F9000000}"/>
    <cellStyle name="A3 297 x 420 mm" xfId="219" xr:uid="{00000000-0005-0000-0000-0000FA000000}"/>
    <cellStyle name="Accent1 2" xfId="358" xr:uid="{00000000-0005-0000-0000-0000FB000000}"/>
    <cellStyle name="Accent2 2" xfId="359" xr:uid="{00000000-0005-0000-0000-0000FC000000}"/>
    <cellStyle name="Accent3 2" xfId="360" xr:uid="{00000000-0005-0000-0000-0000FD000000}"/>
    <cellStyle name="Accent4 2" xfId="361" xr:uid="{00000000-0005-0000-0000-0000FE000000}"/>
    <cellStyle name="Accent5 2" xfId="362" xr:uid="{00000000-0005-0000-0000-0000FF000000}"/>
    <cellStyle name="Accent6 2" xfId="363" xr:uid="{00000000-0005-0000-0000-000000010000}"/>
    <cellStyle name="Actual Date" xfId="220" xr:uid="{00000000-0005-0000-0000-000001010000}"/>
    <cellStyle name="AFE" xfId="221" xr:uid="{00000000-0005-0000-0000-000002010000}"/>
    <cellStyle name="AFE 2" xfId="222" xr:uid="{00000000-0005-0000-0000-000003010000}"/>
    <cellStyle name="AFE 3" xfId="223" xr:uid="{00000000-0005-0000-0000-000004010000}"/>
    <cellStyle name="AFE_C-O&amp;M-Esgoto (Col)" xfId="224" xr:uid="{00000000-0005-0000-0000-000005010000}"/>
    <cellStyle name="Amarelo%" xfId="225" xr:uid="{00000000-0005-0000-0000-000006010000}"/>
    <cellStyle name="Amarelocot" xfId="226" xr:uid="{00000000-0005-0000-0000-000007010000}"/>
    <cellStyle name="Bad 2" xfId="364" xr:uid="{00000000-0005-0000-0000-000008010000}"/>
    <cellStyle name="Body" xfId="227" xr:uid="{00000000-0005-0000-0000-000009010000}"/>
    <cellStyle name="Bol-Data" xfId="228" xr:uid="{00000000-0005-0000-0000-00000A010000}"/>
    <cellStyle name="bolet" xfId="229" xr:uid="{00000000-0005-0000-0000-00000B010000}"/>
    <cellStyle name="Cabe‡alho 1" xfId="230" xr:uid="{00000000-0005-0000-0000-00000C010000}"/>
    <cellStyle name="Cabe‡alho 1 2" xfId="407" xr:uid="{00000000-0005-0000-0000-00000D010000}"/>
    <cellStyle name="Cabe‡alho 1 2 2" xfId="493" xr:uid="{00000000-0005-0000-0000-00000E010000}"/>
    <cellStyle name="Cabe‡alho 2" xfId="231" xr:uid="{00000000-0005-0000-0000-00000F010000}"/>
    <cellStyle name="Cabe‡alho 2 2" xfId="408" xr:uid="{00000000-0005-0000-0000-000010010000}"/>
    <cellStyle name="Cabe‡alho 2 2 2" xfId="494" xr:uid="{00000000-0005-0000-0000-000011010000}"/>
    <cellStyle name="CABEÇALHO" xfId="232" xr:uid="{00000000-0005-0000-0000-000012010000}"/>
    <cellStyle name="CABEÇALHO2" xfId="233" xr:uid="{00000000-0005-0000-0000-000013010000}"/>
    <cellStyle name="Calculation 2" xfId="365" xr:uid="{00000000-0005-0000-0000-000014010000}"/>
    <cellStyle name="Calculation 2 2" xfId="460" xr:uid="{00000000-0005-0000-0000-000015010000}"/>
    <cellStyle name="Calculation 3" xfId="321" xr:uid="{00000000-0005-0000-0000-000016010000}"/>
    <cellStyle name="Calculation 3 2" xfId="459" xr:uid="{00000000-0005-0000-0000-000017010000}"/>
    <cellStyle name="Cálculo" xfId="366" xr:uid="{00000000-0005-0000-0000-000018010000}"/>
    <cellStyle name="Cálculo 2" xfId="320" xr:uid="{00000000-0005-0000-0000-000019010000}"/>
    <cellStyle name="Cálculo 2 2" xfId="458" xr:uid="{00000000-0005-0000-0000-00001A010000}"/>
    <cellStyle name="Cálculo 3" xfId="461" xr:uid="{00000000-0005-0000-0000-00001B010000}"/>
    <cellStyle name="Comma  - Style1" xfId="234" xr:uid="{00000000-0005-0000-0000-00001C010000}"/>
    <cellStyle name="Comma 10" xfId="432" xr:uid="{00000000-0005-0000-0000-00001D010000}"/>
    <cellStyle name="Comma 10 2" xfId="495" xr:uid="{00000000-0005-0000-0000-00001E010000}"/>
    <cellStyle name="Comma 11" xfId="434" xr:uid="{00000000-0005-0000-0000-00001F010000}"/>
    <cellStyle name="Comma 11 2" xfId="496" xr:uid="{00000000-0005-0000-0000-000020010000}"/>
    <cellStyle name="Comma 12" xfId="436" xr:uid="{00000000-0005-0000-0000-000021010000}"/>
    <cellStyle name="Comma 12 2" xfId="497" xr:uid="{00000000-0005-0000-0000-000022010000}"/>
    <cellStyle name="Comma 13" xfId="438" xr:uid="{00000000-0005-0000-0000-000023010000}"/>
    <cellStyle name="Comma 13 2" xfId="498" xr:uid="{00000000-0005-0000-0000-000024010000}"/>
    <cellStyle name="Comma 14" xfId="440" xr:uid="{00000000-0005-0000-0000-000025010000}"/>
    <cellStyle name="Comma 14 2" xfId="499" xr:uid="{00000000-0005-0000-0000-000026010000}"/>
    <cellStyle name="Comma 15" xfId="442" xr:uid="{00000000-0005-0000-0000-000027010000}"/>
    <cellStyle name="Comma 15 2" xfId="500" xr:uid="{00000000-0005-0000-0000-000028010000}"/>
    <cellStyle name="Comma 16" xfId="443" xr:uid="{00000000-0005-0000-0000-000029010000}"/>
    <cellStyle name="Comma 16 2" xfId="501" xr:uid="{00000000-0005-0000-0000-00002A010000}"/>
    <cellStyle name="Comma 17" xfId="444" xr:uid="{00000000-0005-0000-0000-00002B010000}"/>
    <cellStyle name="Comma 17 2" xfId="502" xr:uid="{00000000-0005-0000-0000-00002C010000}"/>
    <cellStyle name="Comma 18" xfId="456" xr:uid="{00000000-0005-0000-0000-00002D010000}"/>
    <cellStyle name="Comma 18 2" xfId="503" xr:uid="{00000000-0005-0000-0000-00002E010000}"/>
    <cellStyle name="Comma 19" xfId="474" xr:uid="{00000000-0005-0000-0000-00002F010000}"/>
    <cellStyle name="Comma 19 2" xfId="504" xr:uid="{00000000-0005-0000-0000-000030010000}"/>
    <cellStyle name="Comma 2" xfId="235" xr:uid="{00000000-0005-0000-0000-000031010000}"/>
    <cellStyle name="Comma 2 2" xfId="315" xr:uid="{00000000-0005-0000-0000-000032010000}"/>
    <cellStyle name="Comma 2 2 2" xfId="457" xr:uid="{00000000-0005-0000-0000-000033010000}"/>
    <cellStyle name="Comma 2 2 2 2" xfId="505" xr:uid="{00000000-0005-0000-0000-000034010000}"/>
    <cellStyle name="Comma 2 3" xfId="447" xr:uid="{00000000-0005-0000-0000-000035010000}"/>
    <cellStyle name="Comma 2 3 2" xfId="506" xr:uid="{00000000-0005-0000-0000-000036010000}"/>
    <cellStyle name="Comma 20" xfId="475" xr:uid="{00000000-0005-0000-0000-000037010000}"/>
    <cellStyle name="Comma 20 2" xfId="507" xr:uid="{00000000-0005-0000-0000-000038010000}"/>
    <cellStyle name="Comma 21" xfId="473" xr:uid="{00000000-0005-0000-0000-000039010000}"/>
    <cellStyle name="Comma 21 2" xfId="508" xr:uid="{00000000-0005-0000-0000-00003A010000}"/>
    <cellStyle name="Comma 22" xfId="476" xr:uid="{00000000-0005-0000-0000-00003B010000}"/>
    <cellStyle name="Comma 22 2" xfId="509" xr:uid="{00000000-0005-0000-0000-00003C010000}"/>
    <cellStyle name="Comma 3" xfId="236" xr:uid="{00000000-0005-0000-0000-00003D010000}"/>
    <cellStyle name="Comma 3 2" xfId="448" xr:uid="{00000000-0005-0000-0000-00003E010000}"/>
    <cellStyle name="Comma 3 2 2" xfId="510" xr:uid="{00000000-0005-0000-0000-00003F010000}"/>
    <cellStyle name="Comma 4" xfId="237" xr:uid="{00000000-0005-0000-0000-000040010000}"/>
    <cellStyle name="Comma 4 2" xfId="449" xr:uid="{00000000-0005-0000-0000-000041010000}"/>
    <cellStyle name="Comma 4 2 2" xfId="511" xr:uid="{00000000-0005-0000-0000-000042010000}"/>
    <cellStyle name="Comma 5" xfId="393" xr:uid="{00000000-0005-0000-0000-000043010000}"/>
    <cellStyle name="Comma 5 2" xfId="465" xr:uid="{00000000-0005-0000-0000-000044010000}"/>
    <cellStyle name="Comma 5 2 2" xfId="512" xr:uid="{00000000-0005-0000-0000-000045010000}"/>
    <cellStyle name="Comma 6" xfId="399" xr:uid="{00000000-0005-0000-0000-000046010000}"/>
    <cellStyle name="Comma 6 2" xfId="470" xr:uid="{00000000-0005-0000-0000-000047010000}"/>
    <cellStyle name="Comma 6 2 2" xfId="513" xr:uid="{00000000-0005-0000-0000-000048010000}"/>
    <cellStyle name="Comma 7" xfId="426" xr:uid="{00000000-0005-0000-0000-000049010000}"/>
    <cellStyle name="Comma 7 2" xfId="514" xr:uid="{00000000-0005-0000-0000-00004A010000}"/>
    <cellStyle name="Comma 8" xfId="428" xr:uid="{00000000-0005-0000-0000-00004B010000}"/>
    <cellStyle name="Comma 8 2" xfId="515" xr:uid="{00000000-0005-0000-0000-00004C010000}"/>
    <cellStyle name="Comma 9" xfId="430" xr:uid="{00000000-0005-0000-0000-00004D010000}"/>
    <cellStyle name="Comma 9 2" xfId="516" xr:uid="{00000000-0005-0000-0000-00004E010000}"/>
    <cellStyle name="Comma0" xfId="238" xr:uid="{00000000-0005-0000-0000-00004F010000}"/>
    <cellStyle name="Conferência" xfId="239" xr:uid="{00000000-0005-0000-0000-000050010000}"/>
    <cellStyle name="Conferência 2" xfId="409" xr:uid="{00000000-0005-0000-0000-000051010000}"/>
    <cellStyle name="Conferência 2 2" xfId="517" xr:uid="{00000000-0005-0000-0000-000052010000}"/>
    <cellStyle name="Curren - Style2" xfId="240" xr:uid="{00000000-0005-0000-0000-000053010000}"/>
    <cellStyle name="Currency 2" xfId="445" xr:uid="{00000000-0005-0000-0000-000054010000}"/>
    <cellStyle name="Currency 2 2" xfId="518" xr:uid="{00000000-0005-0000-0000-000055010000}"/>
    <cellStyle name="Currency0" xfId="241" xr:uid="{00000000-0005-0000-0000-000056010000}"/>
    <cellStyle name="Data" xfId="242" xr:uid="{00000000-0005-0000-0000-000057010000}"/>
    <cellStyle name="Data 2" xfId="410" xr:uid="{00000000-0005-0000-0000-000058010000}"/>
    <cellStyle name="Data 2 2" xfId="519" xr:uid="{00000000-0005-0000-0000-000059010000}"/>
    <cellStyle name="Date" xfId="243" xr:uid="{00000000-0005-0000-0000-00005A010000}"/>
    <cellStyle name="Ênfase1" xfId="367" xr:uid="{00000000-0005-0000-0000-00005B010000}"/>
    <cellStyle name="Ênfase2" xfId="368" xr:uid="{00000000-0005-0000-0000-00005C010000}"/>
    <cellStyle name="Ênfase3" xfId="369" xr:uid="{00000000-0005-0000-0000-00005D010000}"/>
    <cellStyle name="Ênfase4" xfId="370" xr:uid="{00000000-0005-0000-0000-00005E010000}"/>
    <cellStyle name="Ênfase5" xfId="371" xr:uid="{00000000-0005-0000-0000-00005F010000}"/>
    <cellStyle name="Ênfase6" xfId="372" xr:uid="{00000000-0005-0000-0000-000060010000}"/>
    <cellStyle name="Estilo 1" xfId="244" xr:uid="{00000000-0005-0000-0000-000061010000}"/>
    <cellStyle name="Estilo 1 2" xfId="373" xr:uid="{00000000-0005-0000-0000-000062010000}"/>
    <cellStyle name="Euro" xfId="245" xr:uid="{00000000-0005-0000-0000-000063010000}"/>
    <cellStyle name="Explanatory Text 2" xfId="374" xr:uid="{00000000-0005-0000-0000-000064010000}"/>
    <cellStyle name="FIELD" xfId="246" xr:uid="{00000000-0005-0000-0000-000065010000}"/>
    <cellStyle name="Fixed" xfId="247" xr:uid="{00000000-0005-0000-0000-000066010000}"/>
    <cellStyle name="Fixo" xfId="248" xr:uid="{00000000-0005-0000-0000-000067010000}"/>
    <cellStyle name="Fixo 2" xfId="411" xr:uid="{00000000-0005-0000-0000-000068010000}"/>
    <cellStyle name="Fixo 2 2" xfId="520" xr:uid="{00000000-0005-0000-0000-000069010000}"/>
    <cellStyle name="fundoamarelo" xfId="249" xr:uid="{00000000-0005-0000-0000-00006A010000}"/>
    <cellStyle name="fundoazul" xfId="250" xr:uid="{00000000-0005-0000-0000-00006B010000}"/>
    <cellStyle name="fundocinza" xfId="251" xr:uid="{00000000-0005-0000-0000-00006C010000}"/>
    <cellStyle name="fundodeentrada" xfId="252" xr:uid="{00000000-0005-0000-0000-00006D010000}"/>
    <cellStyle name="fundodeentrada 2" xfId="394" xr:uid="{00000000-0005-0000-0000-00006E010000}"/>
    <cellStyle name="fundodeentrada 2 2" xfId="466" xr:uid="{00000000-0005-0000-0000-00006F010000}"/>
    <cellStyle name="fundodeentrada 3" xfId="450" xr:uid="{00000000-0005-0000-0000-000070010000}"/>
    <cellStyle name="fundoentrada" xfId="253" xr:uid="{00000000-0005-0000-0000-000071010000}"/>
    <cellStyle name="Grey" xfId="254" xr:uid="{00000000-0005-0000-0000-000072010000}"/>
    <cellStyle name="HEADER" xfId="255" xr:uid="{00000000-0005-0000-0000-000073010000}"/>
    <cellStyle name="Header1" xfId="256" xr:uid="{00000000-0005-0000-0000-000074010000}"/>
    <cellStyle name="Header2" xfId="257" xr:uid="{00000000-0005-0000-0000-000075010000}"/>
    <cellStyle name="Header2 2" xfId="412" xr:uid="{00000000-0005-0000-0000-000076010000}"/>
    <cellStyle name="Header2 2 2" xfId="521" xr:uid="{00000000-0005-0000-0000-000077010000}"/>
    <cellStyle name="Header2 3" xfId="451" xr:uid="{00000000-0005-0000-0000-000078010000}"/>
    <cellStyle name="Heading 1 2" xfId="375" xr:uid="{00000000-0005-0000-0000-000079010000}"/>
    <cellStyle name="Heading 2 2" xfId="376" xr:uid="{00000000-0005-0000-0000-00007A010000}"/>
    <cellStyle name="Heading 3 2" xfId="377" xr:uid="{00000000-0005-0000-0000-00007B010000}"/>
    <cellStyle name="Heading 4 2" xfId="378" xr:uid="{00000000-0005-0000-0000-00007C010000}"/>
    <cellStyle name="Heading1" xfId="258" xr:uid="{00000000-0005-0000-0000-00007D010000}"/>
    <cellStyle name="Heading2" xfId="259" xr:uid="{00000000-0005-0000-0000-00007E010000}"/>
    <cellStyle name="HIGHLIGHT" xfId="260" xr:uid="{00000000-0005-0000-0000-00007F010000}"/>
    <cellStyle name="Hiperlink" xfId="541" builtinId="8"/>
    <cellStyle name="Hiperlink 2" xfId="479" xr:uid="{00000000-0005-0000-0000-000081010000}"/>
    <cellStyle name="Hyperlink 2" xfId="261" xr:uid="{00000000-0005-0000-0000-000082010000}"/>
    <cellStyle name="Incorreto" xfId="379" xr:uid="{00000000-0005-0000-0000-000083010000}"/>
    <cellStyle name="Indefinido" xfId="262" xr:uid="{00000000-0005-0000-0000-000084010000}"/>
    <cellStyle name="Input [yellow]" xfId="263" xr:uid="{00000000-0005-0000-0000-000085010000}"/>
    <cellStyle name="Millares [0]_Hoja1" xfId="264" xr:uid="{00000000-0005-0000-0000-000086010000}"/>
    <cellStyle name="Millares_CLIENTES" xfId="265" xr:uid="{00000000-0005-0000-0000-000087010000}"/>
    <cellStyle name="Moeda" xfId="2" builtinId="4"/>
    <cellStyle name="Moeda 2" xfId="266" xr:uid="{00000000-0005-0000-0000-000089010000}"/>
    <cellStyle name="Moeda 3" xfId="539" xr:uid="{00000000-0005-0000-0000-00008A010000}"/>
    <cellStyle name="Moeda0" xfId="267" xr:uid="{00000000-0005-0000-0000-00008B010000}"/>
    <cellStyle name="Moeda0 2" xfId="413" xr:uid="{00000000-0005-0000-0000-00008C010000}"/>
    <cellStyle name="Moeda0 2 2" xfId="522" xr:uid="{00000000-0005-0000-0000-00008D010000}"/>
    <cellStyle name="Moneda [0]_Hoja1" xfId="268" xr:uid="{00000000-0005-0000-0000-00008E010000}"/>
    <cellStyle name="Moneda_CEB Despesas Op 17 05 04" xfId="269" xr:uid="{00000000-0005-0000-0000-00008F010000}"/>
    <cellStyle name="movimentação" xfId="270" xr:uid="{00000000-0005-0000-0000-000090010000}"/>
    <cellStyle name="movimentação 2" xfId="414" xr:uid="{00000000-0005-0000-0000-000091010000}"/>
    <cellStyle name="movimentação 2 2" xfId="523" xr:uid="{00000000-0005-0000-0000-000092010000}"/>
    <cellStyle name="movimentação 3" xfId="406" xr:uid="{00000000-0005-0000-0000-000093010000}"/>
    <cellStyle name="movimentação 3 2" xfId="524" xr:uid="{00000000-0005-0000-0000-000094010000}"/>
    <cellStyle name="movimentação 4" xfId="446" xr:uid="{00000000-0005-0000-0000-000095010000}"/>
    <cellStyle name="movimentação 4 2" xfId="525" xr:uid="{00000000-0005-0000-0000-000096010000}"/>
    <cellStyle name="no dec" xfId="271" xr:uid="{00000000-0005-0000-0000-000097010000}"/>
    <cellStyle name="Normal" xfId="0" builtinId="0"/>
    <cellStyle name="Normal - Style1" xfId="272" xr:uid="{00000000-0005-0000-0000-000099010000}"/>
    <cellStyle name="Normal - Style1 10" xfId="471" xr:uid="{00000000-0005-0000-0000-00009A010000}"/>
    <cellStyle name="Normal - Style1 2 2" xfId="316" xr:uid="{00000000-0005-0000-0000-00009B010000}"/>
    <cellStyle name="Normal (%)" xfId="273" xr:uid="{00000000-0005-0000-0000-00009C010000}"/>
    <cellStyle name="Normal (No)" xfId="274" xr:uid="{00000000-0005-0000-0000-00009D010000}"/>
    <cellStyle name="Normal 10" xfId="319" xr:uid="{00000000-0005-0000-0000-00009E010000}"/>
    <cellStyle name="Normal 11" xfId="392" xr:uid="{00000000-0005-0000-0000-00009F010000}"/>
    <cellStyle name="Normal 12" xfId="275" xr:uid="{00000000-0005-0000-0000-0000A0010000}"/>
    <cellStyle name="Normal 13" xfId="400" xr:uid="{00000000-0005-0000-0000-0000A1010000}"/>
    <cellStyle name="Normal 14" xfId="423" xr:uid="{00000000-0005-0000-0000-0000A2010000}"/>
    <cellStyle name="Normal 15" xfId="427" xr:uid="{00000000-0005-0000-0000-0000A3010000}"/>
    <cellStyle name="Normal 16" xfId="429" xr:uid="{00000000-0005-0000-0000-0000A4010000}"/>
    <cellStyle name="Normal 17" xfId="431" xr:uid="{00000000-0005-0000-0000-0000A5010000}"/>
    <cellStyle name="Normal 18" xfId="433" xr:uid="{00000000-0005-0000-0000-0000A6010000}"/>
    <cellStyle name="Normal 19" xfId="435" xr:uid="{00000000-0005-0000-0000-0000A7010000}"/>
    <cellStyle name="Normal 2" xfId="4" xr:uid="{00000000-0005-0000-0000-0000A8010000}"/>
    <cellStyle name="Normal 2 15" xfId="492" xr:uid="{00000000-0005-0000-0000-0000A9010000}"/>
    <cellStyle name="Normal 2 15 2 4" xfId="490" xr:uid="{00000000-0005-0000-0000-0000AA010000}"/>
    <cellStyle name="Normal 2 15 7" xfId="487" xr:uid="{00000000-0005-0000-0000-0000AB010000}"/>
    <cellStyle name="Normal 2 2" xfId="318" xr:uid="{00000000-0005-0000-0000-0000AC010000}"/>
    <cellStyle name="Normal 2 22" xfId="489" xr:uid="{00000000-0005-0000-0000-0000AD010000}"/>
    <cellStyle name="Normal 2 3" xfId="481" xr:uid="{00000000-0005-0000-0000-0000AE010000}"/>
    <cellStyle name="Normal 2 3 7" xfId="276" xr:uid="{00000000-0005-0000-0000-0000AF010000}"/>
    <cellStyle name="Normal 2 4" xfId="484" xr:uid="{00000000-0005-0000-0000-0000B0010000}"/>
    <cellStyle name="Normal 20" xfId="437" xr:uid="{00000000-0005-0000-0000-0000B1010000}"/>
    <cellStyle name="Normal 21" xfId="439" xr:uid="{00000000-0005-0000-0000-0000B2010000}"/>
    <cellStyle name="Normal 22" xfId="441" xr:uid="{00000000-0005-0000-0000-0000B3010000}"/>
    <cellStyle name="Normal 23" xfId="477" xr:uid="{00000000-0005-0000-0000-0000B4010000}"/>
    <cellStyle name="Normal 23 2" xfId="526" xr:uid="{00000000-0005-0000-0000-0000B5010000}"/>
    <cellStyle name="Normal 24" xfId="540" xr:uid="{00000000-0005-0000-0000-000027020000}"/>
    <cellStyle name="Normal 3" xfId="277" xr:uid="{00000000-0005-0000-0000-0000B6010000}"/>
    <cellStyle name="Normal 3 2" xfId="278" xr:uid="{00000000-0005-0000-0000-0000B7010000}"/>
    <cellStyle name="Normal 4" xfId="279" xr:uid="{00000000-0005-0000-0000-0000B8010000}"/>
    <cellStyle name="Normal 5" xfId="280" xr:uid="{00000000-0005-0000-0000-0000B9010000}"/>
    <cellStyle name="Normal 6" xfId="281" xr:uid="{00000000-0005-0000-0000-0000BA010000}"/>
    <cellStyle name="Normal 7" xfId="282" xr:uid="{00000000-0005-0000-0000-0000BB010000}"/>
    <cellStyle name="Normal 8" xfId="283" xr:uid="{00000000-0005-0000-0000-0000BC010000}"/>
    <cellStyle name="Normal 8 2" xfId="488" xr:uid="{00000000-0005-0000-0000-0000BD010000}"/>
    <cellStyle name="Normal 9" xfId="284" xr:uid="{00000000-0005-0000-0000-0000BE010000}"/>
    <cellStyle name="Output 2" xfId="380" xr:uid="{00000000-0005-0000-0000-0000BF010000}"/>
    <cellStyle name="Output 2 2" xfId="462" xr:uid="{00000000-0005-0000-0000-0000C0010000}"/>
    <cellStyle name="Output 3" xfId="395" xr:uid="{00000000-0005-0000-0000-0000C1010000}"/>
    <cellStyle name="Output 3 2" xfId="467" xr:uid="{00000000-0005-0000-0000-0000C2010000}"/>
    <cellStyle name="Percent [2]" xfId="285" xr:uid="{00000000-0005-0000-0000-0000C3010000}"/>
    <cellStyle name="Percent 10" xfId="403" xr:uid="{00000000-0005-0000-0000-0000C4010000}"/>
    <cellStyle name="Percent 11" xfId="417" xr:uid="{00000000-0005-0000-0000-0000C5010000}"/>
    <cellStyle name="Percent 12" xfId="402" xr:uid="{00000000-0005-0000-0000-0000C6010000}"/>
    <cellStyle name="Percent 13" xfId="418" xr:uid="{00000000-0005-0000-0000-0000C7010000}"/>
    <cellStyle name="Percent 14" xfId="401" xr:uid="{00000000-0005-0000-0000-0000C8010000}"/>
    <cellStyle name="Percent 2" xfId="286" xr:uid="{00000000-0005-0000-0000-0000C9010000}"/>
    <cellStyle name="Percent 2 2" xfId="317" xr:uid="{00000000-0005-0000-0000-0000CA010000}"/>
    <cellStyle name="Percent 3" xfId="381" xr:uid="{00000000-0005-0000-0000-0000CB010000}"/>
    <cellStyle name="Percent 4" xfId="396" xr:uid="{00000000-0005-0000-0000-0000CC010000}"/>
    <cellStyle name="Percent 5" xfId="419" xr:uid="{00000000-0005-0000-0000-0000CD010000}"/>
    <cellStyle name="Percent 6" xfId="405" xr:uid="{00000000-0005-0000-0000-0000CE010000}"/>
    <cellStyle name="Percent 7" xfId="415" xr:uid="{00000000-0005-0000-0000-0000CF010000}"/>
    <cellStyle name="Percent 8" xfId="404" xr:uid="{00000000-0005-0000-0000-0000D0010000}"/>
    <cellStyle name="Percent 9" xfId="416" xr:uid="{00000000-0005-0000-0000-0000D1010000}"/>
    <cellStyle name="Porcentagem" xfId="3" builtinId="5"/>
    <cellStyle name="Porcentagem 2" xfId="287" xr:uid="{00000000-0005-0000-0000-0000D3010000}"/>
    <cellStyle name="Porcentagem 3" xfId="288" xr:uid="{00000000-0005-0000-0000-0000D4010000}"/>
    <cellStyle name="Porcentagem 3 2" xfId="485" xr:uid="{00000000-0005-0000-0000-0000D5010000}"/>
    <cellStyle name="Porcentagem 4" xfId="538" xr:uid="{00000000-0005-0000-0000-0000D6010000}"/>
    <cellStyle name="Porcentagem 5" xfId="289" xr:uid="{00000000-0005-0000-0000-0000D7010000}"/>
    <cellStyle name="Porcentual_CLIENTES" xfId="290" xr:uid="{00000000-0005-0000-0000-0000D8010000}"/>
    <cellStyle name="Premissas" xfId="291" xr:uid="{00000000-0005-0000-0000-0000D9010000}"/>
    <cellStyle name="Projeções" xfId="292" xr:uid="{00000000-0005-0000-0000-0000DA010000}"/>
    <cellStyle name="Saída" xfId="382" xr:uid="{00000000-0005-0000-0000-0000DB010000}"/>
    <cellStyle name="Saída 2" xfId="397" xr:uid="{00000000-0005-0000-0000-0000DC010000}"/>
    <cellStyle name="Saída 2 2" xfId="468" xr:uid="{00000000-0005-0000-0000-0000DD010000}"/>
    <cellStyle name="Saída 3" xfId="463" xr:uid="{00000000-0005-0000-0000-0000DE010000}"/>
    <cellStyle name="Sep. milhar [0]" xfId="293" xr:uid="{00000000-0005-0000-0000-0000DF010000}"/>
    <cellStyle name="Separador de m" xfId="294" xr:uid="{00000000-0005-0000-0000-0000E0010000}"/>
    <cellStyle name="Separador de m 2" xfId="420" xr:uid="{00000000-0005-0000-0000-0000E1010000}"/>
    <cellStyle name="Separador de m 2 2" xfId="527" xr:uid="{00000000-0005-0000-0000-0000E2010000}"/>
    <cellStyle name="Separador de milhares 2" xfId="295" xr:uid="{00000000-0005-0000-0000-0000E3010000}"/>
    <cellStyle name="Separador de milhares 2 2" xfId="296" xr:uid="{00000000-0005-0000-0000-0000E4010000}"/>
    <cellStyle name="Separador de milhares 2 2 2" xfId="453" xr:uid="{00000000-0005-0000-0000-0000E5010000}"/>
    <cellStyle name="Separador de milhares 2 2 2 2" xfId="528" xr:uid="{00000000-0005-0000-0000-0000E6010000}"/>
    <cellStyle name="Separador de milhares 2 2 3" xfId="491" xr:uid="{00000000-0005-0000-0000-0000E7010000}"/>
    <cellStyle name="Separador de milhares 2 3" xfId="297" xr:uid="{00000000-0005-0000-0000-0000E8010000}"/>
    <cellStyle name="Separador de milhares 2 3 2" xfId="454" xr:uid="{00000000-0005-0000-0000-0000E9010000}"/>
    <cellStyle name="Separador de milhares 2 3 2 2" xfId="529" xr:uid="{00000000-0005-0000-0000-0000EA010000}"/>
    <cellStyle name="Separador de milhares 2 4" xfId="421" xr:uid="{00000000-0005-0000-0000-0000EB010000}"/>
    <cellStyle name="Separador de milhares 2 4 2" xfId="530" xr:uid="{00000000-0005-0000-0000-0000EC010000}"/>
    <cellStyle name="Separador de milhares 2 5" xfId="452" xr:uid="{00000000-0005-0000-0000-0000ED010000}"/>
    <cellStyle name="Separador de milhares 2 5 2" xfId="531" xr:uid="{00000000-0005-0000-0000-0000EE010000}"/>
    <cellStyle name="Separador de milhares 3" xfId="298" xr:uid="{00000000-0005-0000-0000-0000EF010000}"/>
    <cellStyle name="Separador de milhares 3 2" xfId="422" xr:uid="{00000000-0005-0000-0000-0000F0010000}"/>
    <cellStyle name="Separador de milhares 3 2 2" xfId="532" xr:uid="{00000000-0005-0000-0000-0000F1010000}"/>
    <cellStyle name="Separador de milhares 4" xfId="299" xr:uid="{00000000-0005-0000-0000-0000F2010000}"/>
    <cellStyle name="Separador de milhares 4 2" xfId="455" xr:uid="{00000000-0005-0000-0000-0000F3010000}"/>
    <cellStyle name="Separador de milhares 4 2 2" xfId="533" xr:uid="{00000000-0005-0000-0000-0000F4010000}"/>
    <cellStyle name="ssubtitulo" xfId="300" xr:uid="{00000000-0005-0000-0000-0000F5010000}"/>
    <cellStyle name="Style 1" xfId="301" xr:uid="{00000000-0005-0000-0000-0000F6010000}"/>
    <cellStyle name="Style 1 2" xfId="383" xr:uid="{00000000-0005-0000-0000-0000F7010000}"/>
    <cellStyle name="STYLE1 - Style1" xfId="302" xr:uid="{00000000-0005-0000-0000-0000F8010000}"/>
    <cellStyle name="STYLE2 - Style2" xfId="303" xr:uid="{00000000-0005-0000-0000-0000F9010000}"/>
    <cellStyle name="STYLE3 - Style3" xfId="304" xr:uid="{00000000-0005-0000-0000-0000FA010000}"/>
    <cellStyle name="STYLE4 - Style4" xfId="305" xr:uid="{00000000-0005-0000-0000-0000FB010000}"/>
    <cellStyle name="Texto Explicativo" xfId="384" xr:uid="{00000000-0005-0000-0000-0000FC010000}"/>
    <cellStyle name="Title 2" xfId="385" xr:uid="{00000000-0005-0000-0000-0000FD010000}"/>
    <cellStyle name="titulo" xfId="306" xr:uid="{00000000-0005-0000-0000-0000FE010000}"/>
    <cellStyle name="Título" xfId="386" xr:uid="{00000000-0005-0000-0000-0000FF010000}"/>
    <cellStyle name="Título 1" xfId="387" xr:uid="{00000000-0005-0000-0000-000000020000}"/>
    <cellStyle name="Título 2" xfId="388" xr:uid="{00000000-0005-0000-0000-000001020000}"/>
    <cellStyle name="Título 3" xfId="389" xr:uid="{00000000-0005-0000-0000-000002020000}"/>
    <cellStyle name="Título 4" xfId="390" xr:uid="{00000000-0005-0000-0000-000003020000}"/>
    <cellStyle name="Todos" xfId="307" xr:uid="{00000000-0005-0000-0000-000004020000}"/>
    <cellStyle name="Total 2" xfId="391" xr:uid="{00000000-0005-0000-0000-000005020000}"/>
    <cellStyle name="Total 2 2" xfId="464" xr:uid="{00000000-0005-0000-0000-000006020000}"/>
    <cellStyle name="Total 3" xfId="398" xr:uid="{00000000-0005-0000-0000-000007020000}"/>
    <cellStyle name="Total 3 2" xfId="469" xr:uid="{00000000-0005-0000-0000-000008020000}"/>
    <cellStyle name="totalbalan" xfId="308" xr:uid="{00000000-0005-0000-0000-000009020000}"/>
    <cellStyle name="Unprot" xfId="309" xr:uid="{00000000-0005-0000-0000-00000A020000}"/>
    <cellStyle name="Unprot$" xfId="310" xr:uid="{00000000-0005-0000-0000-00000B020000}"/>
    <cellStyle name="Unprot_4.1. Dados Fisicos - Agua" xfId="311" xr:uid="{00000000-0005-0000-0000-00000C020000}"/>
    <cellStyle name="Unprotect" xfId="312" xr:uid="{00000000-0005-0000-0000-00000D020000}"/>
    <cellStyle name="V¡rgula" xfId="313" xr:uid="{00000000-0005-0000-0000-00000E020000}"/>
    <cellStyle name="V¡rgula 2" xfId="424" xr:uid="{00000000-0005-0000-0000-00000F020000}"/>
    <cellStyle name="V¡rgula 2 2" xfId="534" xr:uid="{00000000-0005-0000-0000-000010020000}"/>
    <cellStyle name="V¡rgula0" xfId="314" xr:uid="{00000000-0005-0000-0000-000011020000}"/>
    <cellStyle name="V¡rgula0 2" xfId="425" xr:uid="{00000000-0005-0000-0000-000012020000}"/>
    <cellStyle name="V¡rgula0 2 2" xfId="535" xr:uid="{00000000-0005-0000-0000-000013020000}"/>
    <cellStyle name="Vírgula" xfId="1" builtinId="3"/>
    <cellStyle name="Vírgula 2" xfId="472" xr:uid="{00000000-0005-0000-0000-000015020000}"/>
    <cellStyle name="Vírgula 2 2" xfId="536" xr:uid="{00000000-0005-0000-0000-000016020000}"/>
    <cellStyle name="Vírgula 3" xfId="478" xr:uid="{00000000-0005-0000-0000-000017020000}"/>
    <cellStyle name="Vírgula 3 2" xfId="537" xr:uid="{00000000-0005-0000-0000-000018020000}"/>
    <cellStyle name="Vírgula 3 3" xfId="486" xr:uid="{00000000-0005-0000-0000-000019020000}"/>
    <cellStyle name="Vírgula 4" xfId="480" xr:uid="{00000000-0005-0000-0000-00001A020000}"/>
    <cellStyle name="Vírgula 4 2" xfId="483" xr:uid="{00000000-0005-0000-0000-00001B020000}"/>
    <cellStyle name="Vírgula 5" xfId="482" xr:uid="{00000000-0005-0000-0000-00001C020000}"/>
  </cellStyles>
  <dxfs count="0"/>
  <tableStyles count="0" defaultTableStyle="TableStyleMedium2" defaultPivotStyle="PivotStyleLight16"/>
  <colors>
    <mruColors>
      <color rgb="FF3399FF"/>
      <color rgb="FFCCCCFF"/>
      <color rgb="FFFFFFCC"/>
      <color rgb="FFFF0066"/>
      <color rgb="FFCCFF99"/>
      <color rgb="FF2D19C5"/>
      <color rgb="FF6295FF"/>
      <color rgb="FF628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Resumo dos pre&#231;os'!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26.png"/><Relationship Id="rId3" Type="http://schemas.openxmlformats.org/officeDocument/2006/relationships/image" Target="../media/image21.png"/><Relationship Id="rId7" Type="http://schemas.openxmlformats.org/officeDocument/2006/relationships/image" Target="../media/image25.png"/><Relationship Id="rId2" Type="http://schemas.openxmlformats.org/officeDocument/2006/relationships/hyperlink" Target="#'Rem. Adequada'!A1"/><Relationship Id="rId1" Type="http://schemas.openxmlformats.org/officeDocument/2006/relationships/hyperlink" Target="#&#205;ndice!A1"/><Relationship Id="rId6" Type="http://schemas.openxmlformats.org/officeDocument/2006/relationships/image" Target="../media/image24.png"/><Relationship Id="rId5" Type="http://schemas.openxmlformats.org/officeDocument/2006/relationships/image" Target="../media/image23.png"/><Relationship Id="rId4" Type="http://schemas.openxmlformats.org/officeDocument/2006/relationships/image" Target="../media/image22.png"/></Relationships>
</file>

<file path=xl/drawings/_rels/drawing11.xml.rels><?xml version="1.0" encoding="UTF-8" standalone="yes"?>
<Relationships xmlns="http://schemas.openxmlformats.org/package/2006/relationships"><Relationship Id="rId1" Type="http://schemas.openxmlformats.org/officeDocument/2006/relationships/hyperlink" Target="#'Rem. Adequada'!A1"/></Relationships>
</file>

<file path=xl/drawings/_rels/drawing12.xml.rels><?xml version="1.0" encoding="UTF-8" standalone="yes"?>
<Relationships xmlns="http://schemas.openxmlformats.org/package/2006/relationships"><Relationship Id="rId8" Type="http://schemas.openxmlformats.org/officeDocument/2006/relationships/image" Target="../media/image33.png"/><Relationship Id="rId3" Type="http://schemas.openxmlformats.org/officeDocument/2006/relationships/image" Target="../media/image28.png"/><Relationship Id="rId7" Type="http://schemas.openxmlformats.org/officeDocument/2006/relationships/image" Target="../media/image32.png"/><Relationship Id="rId2" Type="http://schemas.openxmlformats.org/officeDocument/2006/relationships/image" Target="../media/image27.png"/><Relationship Id="rId1" Type="http://schemas.openxmlformats.org/officeDocument/2006/relationships/hyperlink" Target="#'Pre&#231;o do Aterro'!A1"/><Relationship Id="rId6" Type="http://schemas.openxmlformats.org/officeDocument/2006/relationships/image" Target="../media/image31.png"/><Relationship Id="rId11" Type="http://schemas.openxmlformats.org/officeDocument/2006/relationships/image" Target="../media/image36.png"/><Relationship Id="rId5" Type="http://schemas.openxmlformats.org/officeDocument/2006/relationships/image" Target="../media/image30.png"/><Relationship Id="rId10" Type="http://schemas.openxmlformats.org/officeDocument/2006/relationships/image" Target="../media/image35.png"/><Relationship Id="rId4" Type="http://schemas.openxmlformats.org/officeDocument/2006/relationships/image" Target="../media/image29.png"/><Relationship Id="rId9" Type="http://schemas.openxmlformats.org/officeDocument/2006/relationships/image" Target="../media/image3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hyperlink" Target="#'Resumo dos pre&#231;os'!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Resumo dos pre&#231;os'!A1"/><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Resumo dos pre&#231;os'!A1"/></Relationships>
</file>

<file path=xl/drawings/_rels/drawing5.xml.rels><?xml version="1.0" encoding="UTF-8" standalone="yes"?>
<Relationships xmlns="http://schemas.openxmlformats.org/package/2006/relationships"><Relationship Id="rId1" Type="http://schemas.openxmlformats.org/officeDocument/2006/relationships/hyperlink" Target="#'Pre&#231;o do Aterro'!A1"/></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Pre&#231;o do Aterro'!A1"/></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hyperlink" Target="#'Custos indiretos'!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4.png"/><Relationship Id="rId7" Type="http://schemas.openxmlformats.org/officeDocument/2006/relationships/image" Target="../media/image12.png"/><Relationship Id="rId2" Type="http://schemas.openxmlformats.org/officeDocument/2006/relationships/hyperlink" Target="#'Custos diretos'!A1"/><Relationship Id="rId1" Type="http://schemas.openxmlformats.org/officeDocument/2006/relationships/hyperlink" Target="#'Custos indiretos'!A1"/><Relationship Id="rId6" Type="http://schemas.openxmlformats.org/officeDocument/2006/relationships/image" Target="../media/image11.png"/><Relationship Id="rId11" Type="http://schemas.openxmlformats.org/officeDocument/2006/relationships/image" Target="../media/image20.png"/><Relationship Id="rId5" Type="http://schemas.openxmlformats.org/officeDocument/2006/relationships/image" Target="../media/image16.png"/><Relationship Id="rId10" Type="http://schemas.openxmlformats.org/officeDocument/2006/relationships/image" Target="../media/image19.png"/><Relationship Id="rId4" Type="http://schemas.openxmlformats.org/officeDocument/2006/relationships/image" Target="../media/image15.png"/><Relationship Id="rId9" Type="http://schemas.openxmlformats.org/officeDocument/2006/relationships/image" Target="../media/image18.png"/></Relationships>
</file>

<file path=xl/drawings/_rels/drawing9.xml.rels><?xml version="1.0" encoding="UTF-8" standalone="yes"?>
<Relationships xmlns="http://schemas.openxmlformats.org/package/2006/relationships"><Relationship Id="rId1" Type="http://schemas.openxmlformats.org/officeDocument/2006/relationships/hyperlink" Target="#'Pre&#231;o do Aterro'!A1"/></Relationships>
</file>

<file path=xl/drawings/drawing1.xml><?xml version="1.0" encoding="utf-8"?>
<xdr:wsDr xmlns:xdr="http://schemas.openxmlformats.org/drawingml/2006/spreadsheetDrawing" xmlns:a="http://schemas.openxmlformats.org/drawingml/2006/main">
  <xdr:twoCellAnchor>
    <xdr:from>
      <xdr:col>3</xdr:col>
      <xdr:colOff>251460</xdr:colOff>
      <xdr:row>27</xdr:row>
      <xdr:rowOff>114300</xdr:rowOff>
    </xdr:from>
    <xdr:to>
      <xdr:col>4</xdr:col>
      <xdr:colOff>53340</xdr:colOff>
      <xdr:row>29</xdr:row>
      <xdr:rowOff>106680</xdr:rowOff>
    </xdr:to>
    <xdr:pic>
      <xdr:nvPicPr>
        <xdr:cNvPr id="2" name="Imagem 1">
          <a:extLst>
            <a:ext uri="{FF2B5EF4-FFF2-40B4-BE49-F238E27FC236}">
              <a16:creationId xmlns:a16="http://schemas.microsoft.com/office/drawing/2014/main" id="{0691B160-CC40-4B98-B238-199AE36AA5A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0" y="5775960"/>
          <a:ext cx="66294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xdr:colOff>
      <xdr:row>30</xdr:row>
      <xdr:rowOff>0</xdr:rowOff>
    </xdr:from>
    <xdr:to>
      <xdr:col>5</xdr:col>
      <xdr:colOff>205740</xdr:colOff>
      <xdr:row>31</xdr:row>
      <xdr:rowOff>15240</xdr:rowOff>
    </xdr:to>
    <xdr:pic>
      <xdr:nvPicPr>
        <xdr:cNvPr id="3" name="Imagem 2">
          <a:extLst>
            <a:ext uri="{FF2B5EF4-FFF2-40B4-BE49-F238E27FC236}">
              <a16:creationId xmlns:a16="http://schemas.microsoft.com/office/drawing/2014/main" id="{332D4FA1-E4AD-4F33-8FAC-426564FFA89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 y="6164580"/>
          <a:ext cx="201168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0</xdr:row>
      <xdr:rowOff>38100</xdr:rowOff>
    </xdr:from>
    <xdr:to>
      <xdr:col>0</xdr:col>
      <xdr:colOff>868680</xdr:colOff>
      <xdr:row>2</xdr:row>
      <xdr:rowOff>182880</xdr:rowOff>
    </xdr:to>
    <xdr:sp macro="" textlink="">
      <xdr:nvSpPr>
        <xdr:cNvPr id="4" name="Retângulo 3" descr="Resumo dos preços">
          <a:hlinkClick xmlns:r="http://schemas.openxmlformats.org/officeDocument/2006/relationships" r:id="rId3"/>
          <a:extLst>
            <a:ext uri="{FF2B5EF4-FFF2-40B4-BE49-F238E27FC236}">
              <a16:creationId xmlns:a16="http://schemas.microsoft.com/office/drawing/2014/main" id="{D0C4D306-3A28-4657-AA8A-EF5A5B09E5C5}"/>
            </a:ext>
          </a:extLst>
        </xdr:cNvPr>
        <xdr:cNvSpPr/>
      </xdr:nvSpPr>
      <xdr:spPr>
        <a:xfrm>
          <a:off x="38100" y="38100"/>
          <a:ext cx="830580" cy="4800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Resumo dos preços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63498</xdr:colOff>
      <xdr:row>15</xdr:row>
      <xdr:rowOff>0</xdr:rowOff>
    </xdr:from>
    <xdr:to>
      <xdr:col>2</xdr:col>
      <xdr:colOff>1038311</xdr:colOff>
      <xdr:row>15</xdr:row>
      <xdr:rowOff>0</xdr:rowOff>
    </xdr:to>
    <xdr:sp macro="" textlink="">
      <xdr:nvSpPr>
        <xdr:cNvPr id="3" name="Bevel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79455" y="415049"/>
          <a:ext cx="1330965" cy="285917"/>
        </a:xfrm>
        <a:prstGeom prst="bevel">
          <a:avLst/>
        </a:prstGeom>
        <a:solidFill>
          <a:schemeClr val="bg1">
            <a:lumMod val="9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b="1">
              <a:solidFill>
                <a:sysClr val="windowText" lastClr="000000"/>
              </a:solidFill>
              <a:latin typeface="Arial" panose="020B0604020202020204" pitchFamily="34" charset="0"/>
              <a:cs typeface="Arial" panose="020B0604020202020204" pitchFamily="34" charset="0"/>
            </a:rPr>
            <a:t>Voltar ao Índice</a:t>
          </a:r>
        </a:p>
      </xdr:txBody>
    </xdr:sp>
    <xdr:clientData/>
  </xdr:twoCellAnchor>
  <xdr:twoCellAnchor>
    <xdr:from>
      <xdr:col>0</xdr:col>
      <xdr:colOff>491067</xdr:colOff>
      <xdr:row>0</xdr:row>
      <xdr:rowOff>110067</xdr:rowOff>
    </xdr:from>
    <xdr:to>
      <xdr:col>2</xdr:col>
      <xdr:colOff>141394</xdr:colOff>
      <xdr:row>3</xdr:row>
      <xdr:rowOff>104987</xdr:rowOff>
    </xdr:to>
    <xdr:sp macro="" textlink="">
      <xdr:nvSpPr>
        <xdr:cNvPr id="4" name="Retângulo 3" descr="Resumo dos preços">
          <a:hlinkClick xmlns:r="http://schemas.openxmlformats.org/officeDocument/2006/relationships" r:id="rId2"/>
          <a:extLst>
            <a:ext uri="{FF2B5EF4-FFF2-40B4-BE49-F238E27FC236}">
              <a16:creationId xmlns:a16="http://schemas.microsoft.com/office/drawing/2014/main" id="{2FC85883-5D37-47EA-B4FB-534AD6450A2F}"/>
            </a:ext>
          </a:extLst>
        </xdr:cNvPr>
        <xdr:cNvSpPr/>
      </xdr:nvSpPr>
      <xdr:spPr>
        <a:xfrm>
          <a:off x="491067" y="110067"/>
          <a:ext cx="784860" cy="50292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Rem. Adequada</a:t>
          </a:r>
        </a:p>
      </xdr:txBody>
    </xdr:sp>
    <xdr:clientData/>
  </xdr:twoCellAnchor>
  <xdr:twoCellAnchor>
    <xdr:from>
      <xdr:col>2</xdr:col>
      <xdr:colOff>575733</xdr:colOff>
      <xdr:row>98</xdr:row>
      <xdr:rowOff>67732</xdr:rowOff>
    </xdr:from>
    <xdr:to>
      <xdr:col>2</xdr:col>
      <xdr:colOff>2808393</xdr:colOff>
      <xdr:row>98</xdr:row>
      <xdr:rowOff>253999</xdr:rowOff>
    </xdr:to>
    <xdr:pic>
      <xdr:nvPicPr>
        <xdr:cNvPr id="5" name="Imagem 4">
          <a:extLst>
            <a:ext uri="{FF2B5EF4-FFF2-40B4-BE49-F238E27FC236}">
              <a16:creationId xmlns:a16="http://schemas.microsoft.com/office/drawing/2014/main" id="{AFDFA424-A90D-4FB3-958D-D195B926A563}"/>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10266" y="18770599"/>
          <a:ext cx="2232660" cy="186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330200</xdr:colOff>
      <xdr:row>101</xdr:row>
      <xdr:rowOff>93133</xdr:rowOff>
    </xdr:from>
    <xdr:to>
      <xdr:col>2</xdr:col>
      <xdr:colOff>886460</xdr:colOff>
      <xdr:row>101</xdr:row>
      <xdr:rowOff>424180</xdr:rowOff>
    </xdr:to>
    <xdr:pic>
      <xdr:nvPicPr>
        <xdr:cNvPr id="6" name="Imagem 5">
          <a:extLst>
            <a:ext uri="{FF2B5EF4-FFF2-40B4-BE49-F238E27FC236}">
              <a16:creationId xmlns:a16="http://schemas.microsoft.com/office/drawing/2014/main" id="{B58F2FF8-868F-4439-81D6-350241BBFF24}"/>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4733" y="19464866"/>
          <a:ext cx="556260" cy="331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3132666</xdr:colOff>
      <xdr:row>107</xdr:row>
      <xdr:rowOff>84667</xdr:rowOff>
    </xdr:from>
    <xdr:to>
      <xdr:col>4</xdr:col>
      <xdr:colOff>1523999</xdr:colOff>
      <xdr:row>107</xdr:row>
      <xdr:rowOff>447887</xdr:rowOff>
    </xdr:to>
    <xdr:pic>
      <xdr:nvPicPr>
        <xdr:cNvPr id="8" name="Imagem 7">
          <a:extLst>
            <a:ext uri="{FF2B5EF4-FFF2-40B4-BE49-F238E27FC236}">
              <a16:creationId xmlns:a16="http://schemas.microsoft.com/office/drawing/2014/main" id="{02878380-3718-4125-AD75-AFB86EC9D185}"/>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67199" y="20768734"/>
          <a:ext cx="3124200" cy="363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2523068</xdr:colOff>
      <xdr:row>111</xdr:row>
      <xdr:rowOff>76200</xdr:rowOff>
    </xdr:from>
    <xdr:to>
      <xdr:col>4</xdr:col>
      <xdr:colOff>971127</xdr:colOff>
      <xdr:row>111</xdr:row>
      <xdr:rowOff>436033</xdr:rowOff>
    </xdr:to>
    <xdr:pic>
      <xdr:nvPicPr>
        <xdr:cNvPr id="10" name="Imagem 9">
          <a:extLst>
            <a:ext uri="{FF2B5EF4-FFF2-40B4-BE49-F238E27FC236}">
              <a16:creationId xmlns:a16="http://schemas.microsoft.com/office/drawing/2014/main" id="{6C5861FB-8F69-4C30-8E7B-FB9ACF6FD52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57601" y="22428200"/>
          <a:ext cx="3180926" cy="359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33867</xdr:colOff>
      <xdr:row>104</xdr:row>
      <xdr:rowOff>118533</xdr:rowOff>
    </xdr:from>
    <xdr:to>
      <xdr:col>4</xdr:col>
      <xdr:colOff>1335194</xdr:colOff>
      <xdr:row>105</xdr:row>
      <xdr:rowOff>107527</xdr:rowOff>
    </xdr:to>
    <xdr:pic>
      <xdr:nvPicPr>
        <xdr:cNvPr id="13" name="Imagem 12">
          <a:extLst>
            <a:ext uri="{FF2B5EF4-FFF2-40B4-BE49-F238E27FC236}">
              <a16:creationId xmlns:a16="http://schemas.microsoft.com/office/drawing/2014/main" id="{C195934E-936E-41EB-83B6-B2CA8DEF0907}"/>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51867" y="20294600"/>
          <a:ext cx="2850727"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321733</xdr:colOff>
      <xdr:row>110</xdr:row>
      <xdr:rowOff>254000</xdr:rowOff>
    </xdr:from>
    <xdr:to>
      <xdr:col>4</xdr:col>
      <xdr:colOff>615526</xdr:colOff>
      <xdr:row>110</xdr:row>
      <xdr:rowOff>429260</xdr:rowOff>
    </xdr:to>
    <xdr:pic>
      <xdr:nvPicPr>
        <xdr:cNvPr id="14" name="Imagem 13">
          <a:extLst>
            <a:ext uri="{FF2B5EF4-FFF2-40B4-BE49-F238E27FC236}">
              <a16:creationId xmlns:a16="http://schemas.microsoft.com/office/drawing/2014/main" id="{435A8D6B-3A00-4594-9249-1EEB92F43601}"/>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39733" y="21928667"/>
          <a:ext cx="1843193"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22860</xdr:colOff>
      <xdr:row>0</xdr:row>
      <xdr:rowOff>114300</xdr:rowOff>
    </xdr:from>
    <xdr:to>
      <xdr:col>2</xdr:col>
      <xdr:colOff>350520</xdr:colOff>
      <xdr:row>3</xdr:row>
      <xdr:rowOff>114300</xdr:rowOff>
    </xdr:to>
    <xdr:sp macro="" textlink="">
      <xdr:nvSpPr>
        <xdr:cNvPr id="3" name="Retângulo 2" descr="Resumo dos preços">
          <a:hlinkClick xmlns:r="http://schemas.openxmlformats.org/officeDocument/2006/relationships" r:id="rId1"/>
          <a:extLst>
            <a:ext uri="{FF2B5EF4-FFF2-40B4-BE49-F238E27FC236}">
              <a16:creationId xmlns:a16="http://schemas.microsoft.com/office/drawing/2014/main" id="{7EE299C8-A35C-44A1-A67F-CC9629B6BA15}"/>
            </a:ext>
          </a:extLst>
        </xdr:cNvPr>
        <xdr:cNvSpPr/>
      </xdr:nvSpPr>
      <xdr:spPr>
        <a:xfrm>
          <a:off x="137160" y="114300"/>
          <a:ext cx="784860" cy="50292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Rem. Adequada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45720</xdr:colOff>
      <xdr:row>0</xdr:row>
      <xdr:rowOff>38100</xdr:rowOff>
    </xdr:from>
    <xdr:to>
      <xdr:col>1</xdr:col>
      <xdr:colOff>22860</xdr:colOff>
      <xdr:row>3</xdr:row>
      <xdr:rowOff>15240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465AFF55-A95C-4B78-9A9F-BE7FD67A33AB}"/>
            </a:ext>
          </a:extLst>
        </xdr:cNvPr>
        <xdr:cNvSpPr/>
      </xdr:nvSpPr>
      <xdr:spPr>
        <a:xfrm>
          <a:off x="45720" y="38100"/>
          <a:ext cx="586740" cy="52578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Preço</a:t>
          </a:r>
          <a:r>
            <a:rPr lang="pt-BR" sz="1100" baseline="0">
              <a:solidFill>
                <a:sysClr val="windowText" lastClr="000000"/>
              </a:solidFill>
            </a:rPr>
            <a:t> ASB</a:t>
          </a:r>
          <a:endParaRPr lang="pt-BR" sz="1100">
            <a:solidFill>
              <a:sysClr val="windowText" lastClr="000000"/>
            </a:solidFill>
          </a:endParaRPr>
        </a:p>
      </xdr:txBody>
    </xdr:sp>
    <xdr:clientData/>
  </xdr:twoCellAnchor>
  <xdr:twoCellAnchor>
    <xdr:from>
      <xdr:col>2</xdr:col>
      <xdr:colOff>312420</xdr:colOff>
      <xdr:row>33</xdr:row>
      <xdr:rowOff>22860</xdr:rowOff>
    </xdr:from>
    <xdr:to>
      <xdr:col>3</xdr:col>
      <xdr:colOff>190500</xdr:colOff>
      <xdr:row>34</xdr:row>
      <xdr:rowOff>22860</xdr:rowOff>
    </xdr:to>
    <xdr:pic>
      <xdr:nvPicPr>
        <xdr:cNvPr id="4" name="Imagem 3">
          <a:extLst>
            <a:ext uri="{FF2B5EF4-FFF2-40B4-BE49-F238E27FC236}">
              <a16:creationId xmlns:a16="http://schemas.microsoft.com/office/drawing/2014/main" id="{3D80BA4A-4ED0-4126-B48E-E553EA35DA6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6900" y="7391400"/>
          <a:ext cx="83820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487680</xdr:colOff>
      <xdr:row>35</xdr:row>
      <xdr:rowOff>30480</xdr:rowOff>
    </xdr:from>
    <xdr:to>
      <xdr:col>5</xdr:col>
      <xdr:colOff>426720</xdr:colOff>
      <xdr:row>35</xdr:row>
      <xdr:rowOff>213360</xdr:rowOff>
    </xdr:to>
    <xdr:pic>
      <xdr:nvPicPr>
        <xdr:cNvPr id="5" name="Imagem 4">
          <a:extLst>
            <a:ext uri="{FF2B5EF4-FFF2-40B4-BE49-F238E27FC236}">
              <a16:creationId xmlns:a16="http://schemas.microsoft.com/office/drawing/2014/main" id="{58C5E1F7-D104-4531-890D-A0B949D1C88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42160" y="7909560"/>
          <a:ext cx="274320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335280</xdr:colOff>
      <xdr:row>40</xdr:row>
      <xdr:rowOff>68580</xdr:rowOff>
    </xdr:from>
    <xdr:to>
      <xdr:col>7</xdr:col>
      <xdr:colOff>792480</xdr:colOff>
      <xdr:row>40</xdr:row>
      <xdr:rowOff>396240</xdr:rowOff>
    </xdr:to>
    <xdr:pic>
      <xdr:nvPicPr>
        <xdr:cNvPr id="6" name="Imagem 5">
          <a:extLst>
            <a:ext uri="{FF2B5EF4-FFF2-40B4-BE49-F238E27FC236}">
              <a16:creationId xmlns:a16="http://schemas.microsoft.com/office/drawing/2014/main" id="{A8A03E15-F844-416F-A85A-33FBB6498855}"/>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93920" y="8923020"/>
          <a:ext cx="275082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807720</xdr:colOff>
      <xdr:row>41</xdr:row>
      <xdr:rowOff>68580</xdr:rowOff>
    </xdr:from>
    <xdr:to>
      <xdr:col>6</xdr:col>
      <xdr:colOff>1127760</xdr:colOff>
      <xdr:row>41</xdr:row>
      <xdr:rowOff>396240</xdr:rowOff>
    </xdr:to>
    <xdr:pic>
      <xdr:nvPicPr>
        <xdr:cNvPr id="7" name="Imagem 6">
          <a:extLst>
            <a:ext uri="{FF2B5EF4-FFF2-40B4-BE49-F238E27FC236}">
              <a16:creationId xmlns:a16="http://schemas.microsoft.com/office/drawing/2014/main" id="{C1E2E45B-6F67-4903-81E5-B35AA5AE38D3}"/>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98620" y="9364980"/>
          <a:ext cx="224790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266700</xdr:colOff>
      <xdr:row>54</xdr:row>
      <xdr:rowOff>114300</xdr:rowOff>
    </xdr:from>
    <xdr:to>
      <xdr:col>5</xdr:col>
      <xdr:colOff>594360</xdr:colOff>
      <xdr:row>55</xdr:row>
      <xdr:rowOff>7620</xdr:rowOff>
    </xdr:to>
    <xdr:pic>
      <xdr:nvPicPr>
        <xdr:cNvPr id="8" name="Imagem 7">
          <a:extLst>
            <a:ext uri="{FF2B5EF4-FFF2-40B4-BE49-F238E27FC236}">
              <a16:creationId xmlns:a16="http://schemas.microsoft.com/office/drawing/2014/main" id="{57A8CF12-CF47-41CF-A6D1-95D9DCFF7961}"/>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81300" y="11750040"/>
          <a:ext cx="217170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883920</xdr:colOff>
      <xdr:row>74</xdr:row>
      <xdr:rowOff>0</xdr:rowOff>
    </xdr:from>
    <xdr:to>
      <xdr:col>5</xdr:col>
      <xdr:colOff>929640</xdr:colOff>
      <xdr:row>75</xdr:row>
      <xdr:rowOff>7620</xdr:rowOff>
    </xdr:to>
    <xdr:pic>
      <xdr:nvPicPr>
        <xdr:cNvPr id="9" name="Imagem 8">
          <a:extLst>
            <a:ext uri="{FF2B5EF4-FFF2-40B4-BE49-F238E27FC236}">
              <a16:creationId xmlns:a16="http://schemas.microsoft.com/office/drawing/2014/main" id="{3CC9B514-A29D-4B20-BDD4-7EF7D25BD7F9}"/>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3520" y="15194280"/>
          <a:ext cx="379476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449580</xdr:colOff>
      <xdr:row>88</xdr:row>
      <xdr:rowOff>30480</xdr:rowOff>
    </xdr:from>
    <xdr:to>
      <xdr:col>8</xdr:col>
      <xdr:colOff>220980</xdr:colOff>
      <xdr:row>89</xdr:row>
      <xdr:rowOff>7620</xdr:rowOff>
    </xdr:to>
    <xdr:pic>
      <xdr:nvPicPr>
        <xdr:cNvPr id="10" name="Imagem 9">
          <a:extLst>
            <a:ext uri="{FF2B5EF4-FFF2-40B4-BE49-F238E27FC236}">
              <a16:creationId xmlns:a16="http://schemas.microsoft.com/office/drawing/2014/main" id="{C41B533B-7509-4916-A71D-A6A89BBC3BCB}"/>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93820" y="17960340"/>
          <a:ext cx="425196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xdr:colOff>
      <xdr:row>90</xdr:row>
      <xdr:rowOff>30480</xdr:rowOff>
    </xdr:from>
    <xdr:to>
      <xdr:col>6</xdr:col>
      <xdr:colOff>1066800</xdr:colOff>
      <xdr:row>91</xdr:row>
      <xdr:rowOff>68580</xdr:rowOff>
    </xdr:to>
    <xdr:pic>
      <xdr:nvPicPr>
        <xdr:cNvPr id="11" name="Imagem 10">
          <a:extLst>
            <a:ext uri="{FF2B5EF4-FFF2-40B4-BE49-F238E27FC236}">
              <a16:creationId xmlns:a16="http://schemas.microsoft.com/office/drawing/2014/main" id="{6956DA9D-FDE2-4079-98E7-E989F0885394}"/>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51860" y="18341340"/>
          <a:ext cx="298704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304800</xdr:colOff>
      <xdr:row>110</xdr:row>
      <xdr:rowOff>99060</xdr:rowOff>
    </xdr:from>
    <xdr:to>
      <xdr:col>5</xdr:col>
      <xdr:colOff>541020</xdr:colOff>
      <xdr:row>111</xdr:row>
      <xdr:rowOff>114300</xdr:rowOff>
    </xdr:to>
    <xdr:pic>
      <xdr:nvPicPr>
        <xdr:cNvPr id="12" name="Imagem 11">
          <a:extLst>
            <a:ext uri="{FF2B5EF4-FFF2-40B4-BE49-F238E27FC236}">
              <a16:creationId xmlns:a16="http://schemas.microsoft.com/office/drawing/2014/main" id="{A319F684-D2B0-448E-BCB5-F9A2DE647A29}"/>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22090380"/>
          <a:ext cx="21259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297180</xdr:colOff>
      <xdr:row>56</xdr:row>
      <xdr:rowOff>45720</xdr:rowOff>
    </xdr:from>
    <xdr:to>
      <xdr:col>4</xdr:col>
      <xdr:colOff>571500</xdr:colOff>
      <xdr:row>57</xdr:row>
      <xdr:rowOff>114300</xdr:rowOff>
    </xdr:to>
    <xdr:pic>
      <xdr:nvPicPr>
        <xdr:cNvPr id="13" name="Imagem 12">
          <a:extLst>
            <a:ext uri="{FF2B5EF4-FFF2-40B4-BE49-F238E27FC236}">
              <a16:creationId xmlns:a16="http://schemas.microsoft.com/office/drawing/2014/main" id="{2CBDDBAB-2ACF-4F5D-BE7E-63D65941EA34}"/>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0" y="11955780"/>
          <a:ext cx="210312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586740</xdr:colOff>
      <xdr:row>26</xdr:row>
      <xdr:rowOff>15240</xdr:rowOff>
    </xdr:from>
    <xdr:to>
      <xdr:col>4</xdr:col>
      <xdr:colOff>563880</xdr:colOff>
      <xdr:row>27</xdr:row>
      <xdr:rowOff>127995</xdr:rowOff>
    </xdr:to>
    <xdr:pic>
      <xdr:nvPicPr>
        <xdr:cNvPr id="2" name="Imagem 1">
          <a:extLst>
            <a:ext uri="{FF2B5EF4-FFF2-40B4-BE49-F238E27FC236}">
              <a16:creationId xmlns:a16="http://schemas.microsoft.com/office/drawing/2014/main" id="{4AE1D239-CA5D-4695-A355-9F6F5BF8FF0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16980" y="2598420"/>
          <a:ext cx="1021080" cy="379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251460</xdr:colOff>
      <xdr:row>28</xdr:row>
      <xdr:rowOff>15240</xdr:rowOff>
    </xdr:from>
    <xdr:to>
      <xdr:col>4</xdr:col>
      <xdr:colOff>701040</xdr:colOff>
      <xdr:row>29</xdr:row>
      <xdr:rowOff>7620</xdr:rowOff>
    </xdr:to>
    <xdr:pic>
      <xdr:nvPicPr>
        <xdr:cNvPr id="3" name="Imagem 2">
          <a:extLst>
            <a:ext uri="{FF2B5EF4-FFF2-40B4-BE49-F238E27FC236}">
              <a16:creationId xmlns:a16="http://schemas.microsoft.com/office/drawing/2014/main" id="{ABD4A3F1-4AC6-45C6-92AE-4B8FCC1AC2FF}"/>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81700" y="3048000"/>
          <a:ext cx="149352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579120</xdr:colOff>
      <xdr:row>29</xdr:row>
      <xdr:rowOff>60960</xdr:rowOff>
    </xdr:from>
    <xdr:to>
      <xdr:col>3</xdr:col>
      <xdr:colOff>777240</xdr:colOff>
      <xdr:row>30</xdr:row>
      <xdr:rowOff>83820</xdr:rowOff>
    </xdr:to>
    <xdr:pic>
      <xdr:nvPicPr>
        <xdr:cNvPr id="5" name="Imagem 4">
          <a:extLst>
            <a:ext uri="{FF2B5EF4-FFF2-40B4-BE49-F238E27FC236}">
              <a16:creationId xmlns:a16="http://schemas.microsoft.com/office/drawing/2014/main" id="{842152FB-7EAF-4A9E-A818-5DF0E9ACF736}"/>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00700" y="3276600"/>
          <a:ext cx="90678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830580</xdr:colOff>
      <xdr:row>39</xdr:row>
      <xdr:rowOff>30480</xdr:rowOff>
    </xdr:from>
    <xdr:to>
      <xdr:col>6</xdr:col>
      <xdr:colOff>274320</xdr:colOff>
      <xdr:row>40</xdr:row>
      <xdr:rowOff>38100</xdr:rowOff>
    </xdr:to>
    <xdr:pic>
      <xdr:nvPicPr>
        <xdr:cNvPr id="6" name="Imagem 5">
          <a:extLst>
            <a:ext uri="{FF2B5EF4-FFF2-40B4-BE49-F238E27FC236}">
              <a16:creationId xmlns:a16="http://schemas.microsoft.com/office/drawing/2014/main" id="{BB9D521D-BAFE-4E0C-BE82-90E3FFEB11C9}"/>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3580" y="7147560"/>
          <a:ext cx="211836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83820</xdr:colOff>
      <xdr:row>0</xdr:row>
      <xdr:rowOff>60960</xdr:rowOff>
    </xdr:from>
    <xdr:to>
      <xdr:col>2</xdr:col>
      <xdr:colOff>495300</xdr:colOff>
      <xdr:row>3</xdr:row>
      <xdr:rowOff>68580</xdr:rowOff>
    </xdr:to>
    <xdr:sp macro="" textlink="">
      <xdr:nvSpPr>
        <xdr:cNvPr id="7" name="Retângulo 6" descr="Resumo dos preços">
          <a:hlinkClick xmlns:r="http://schemas.openxmlformats.org/officeDocument/2006/relationships" r:id="rId5"/>
          <a:extLst>
            <a:ext uri="{FF2B5EF4-FFF2-40B4-BE49-F238E27FC236}">
              <a16:creationId xmlns:a16="http://schemas.microsoft.com/office/drawing/2014/main" id="{4FB6E39D-7BBF-4E3F-B70A-A8D4212C215A}"/>
            </a:ext>
          </a:extLst>
        </xdr:cNvPr>
        <xdr:cNvSpPr/>
      </xdr:nvSpPr>
      <xdr:spPr>
        <a:xfrm>
          <a:off x="83820" y="60960"/>
          <a:ext cx="845820" cy="51054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Resumo dos preços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594360</xdr:colOff>
      <xdr:row>54</xdr:row>
      <xdr:rowOff>15240</xdr:rowOff>
    </xdr:from>
    <xdr:to>
      <xdr:col>8</xdr:col>
      <xdr:colOff>0</xdr:colOff>
      <xdr:row>55</xdr:row>
      <xdr:rowOff>7620</xdr:rowOff>
    </xdr:to>
    <xdr:pic>
      <xdr:nvPicPr>
        <xdr:cNvPr id="2" name="Imagem 1">
          <a:extLst>
            <a:ext uri="{FF2B5EF4-FFF2-40B4-BE49-F238E27FC236}">
              <a16:creationId xmlns:a16="http://schemas.microsoft.com/office/drawing/2014/main" id="{97D64804-E621-4EF5-93F3-17C53C4544E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37360" y="8923020"/>
          <a:ext cx="353568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487680</xdr:colOff>
      <xdr:row>55</xdr:row>
      <xdr:rowOff>22860</xdr:rowOff>
    </xdr:from>
    <xdr:to>
      <xdr:col>7</xdr:col>
      <xdr:colOff>388620</xdr:colOff>
      <xdr:row>56</xdr:row>
      <xdr:rowOff>15240</xdr:rowOff>
    </xdr:to>
    <xdr:pic>
      <xdr:nvPicPr>
        <xdr:cNvPr id="3" name="Imagem 2">
          <a:extLst>
            <a:ext uri="{FF2B5EF4-FFF2-40B4-BE49-F238E27FC236}">
              <a16:creationId xmlns:a16="http://schemas.microsoft.com/office/drawing/2014/main" id="{0084D5CF-A7BF-4CBB-959F-17A6D7D591E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9113520"/>
          <a:ext cx="328422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xdr:colOff>
      <xdr:row>0</xdr:row>
      <xdr:rowOff>76200</xdr:rowOff>
    </xdr:from>
    <xdr:to>
      <xdr:col>1</xdr:col>
      <xdr:colOff>266700</xdr:colOff>
      <xdr:row>1</xdr:row>
      <xdr:rowOff>358140</xdr:rowOff>
    </xdr:to>
    <xdr:sp macro="" textlink="">
      <xdr:nvSpPr>
        <xdr:cNvPr id="4" name="Retângulo 3" descr="Resumo dos preços">
          <a:hlinkClick xmlns:r="http://schemas.openxmlformats.org/officeDocument/2006/relationships" r:id="rId3"/>
          <a:extLst>
            <a:ext uri="{FF2B5EF4-FFF2-40B4-BE49-F238E27FC236}">
              <a16:creationId xmlns:a16="http://schemas.microsoft.com/office/drawing/2014/main" id="{7ADA01D6-6690-4BD3-BF4A-62269BB1D247}"/>
            </a:ext>
          </a:extLst>
        </xdr:cNvPr>
        <xdr:cNvSpPr/>
      </xdr:nvSpPr>
      <xdr:spPr>
        <a:xfrm>
          <a:off x="15240" y="76200"/>
          <a:ext cx="807720" cy="46482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Resumo dos preços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0</xdr:row>
      <xdr:rowOff>60960</xdr:rowOff>
    </xdr:from>
    <xdr:to>
      <xdr:col>1</xdr:col>
      <xdr:colOff>876300</xdr:colOff>
      <xdr:row>2</xdr:row>
      <xdr:rowOff>60960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D0D3ABB9-49BF-4FF9-8A8F-47460BA8023F}"/>
            </a:ext>
          </a:extLst>
        </xdr:cNvPr>
        <xdr:cNvSpPr/>
      </xdr:nvSpPr>
      <xdr:spPr>
        <a:xfrm>
          <a:off x="121920" y="60960"/>
          <a:ext cx="868680" cy="43434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Resumo dos preços </a:t>
          </a:r>
        </a:p>
      </xdr:txBody>
    </xdr:sp>
    <xdr:clientData/>
  </xdr:twoCellAnchor>
  <xdr:twoCellAnchor>
    <xdr:from>
      <xdr:col>1</xdr:col>
      <xdr:colOff>0</xdr:colOff>
      <xdr:row>46</xdr:row>
      <xdr:rowOff>0</xdr:rowOff>
    </xdr:from>
    <xdr:to>
      <xdr:col>16383</xdr:col>
      <xdr:colOff>0</xdr:colOff>
      <xdr:row>50</xdr:row>
      <xdr:rowOff>106680</xdr:rowOff>
    </xdr:to>
    <xdr:pic>
      <xdr:nvPicPr>
        <xdr:cNvPr id="3" name="Imagem 2">
          <a:extLst>
            <a:ext uri="{FF2B5EF4-FFF2-40B4-BE49-F238E27FC236}">
              <a16:creationId xmlns:a16="http://schemas.microsoft.com/office/drawing/2014/main" id="{D495F15D-85B2-4FD5-A56B-A59E91E545F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8092440"/>
          <a:ext cx="51054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83820</xdr:colOff>
      <xdr:row>0</xdr:row>
      <xdr:rowOff>106680</xdr:rowOff>
    </xdr:from>
    <xdr:to>
      <xdr:col>1</xdr:col>
      <xdr:colOff>426720</xdr:colOff>
      <xdr:row>3</xdr:row>
      <xdr:rowOff>83820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4F7BC24C-95AF-44BE-B91D-B4AA78D2AD80}"/>
            </a:ext>
          </a:extLst>
        </xdr:cNvPr>
        <xdr:cNvSpPr/>
      </xdr:nvSpPr>
      <xdr:spPr>
        <a:xfrm>
          <a:off x="83820" y="106680"/>
          <a:ext cx="586740" cy="52578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Preço</a:t>
          </a:r>
          <a:r>
            <a:rPr lang="pt-BR" sz="1100" baseline="0">
              <a:solidFill>
                <a:sysClr val="windowText" lastClr="000000"/>
              </a:solidFill>
            </a:rPr>
            <a:t> ASB</a:t>
          </a:r>
          <a:endParaRPr lang="pt-BR"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38100</xdr:colOff>
      <xdr:row>3</xdr:row>
      <xdr:rowOff>22860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A0059C15-6C86-4A21-A6BB-2AA9CDA4B5CF}"/>
            </a:ext>
          </a:extLst>
        </xdr:cNvPr>
        <xdr:cNvSpPr/>
      </xdr:nvSpPr>
      <xdr:spPr>
        <a:xfrm>
          <a:off x="60960" y="68580"/>
          <a:ext cx="586740" cy="52578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Preço</a:t>
          </a:r>
          <a:r>
            <a:rPr lang="pt-BR" sz="1100" baseline="0">
              <a:solidFill>
                <a:sysClr val="windowText" lastClr="000000"/>
              </a:solidFill>
            </a:rPr>
            <a:t> ASB</a:t>
          </a:r>
          <a:endParaRPr lang="pt-BR" sz="1100">
            <a:solidFill>
              <a:sysClr val="windowText" lastClr="000000"/>
            </a:solidFill>
          </a:endParaRPr>
        </a:p>
      </xdr:txBody>
    </xdr:sp>
    <xdr:clientData/>
  </xdr:twoCellAnchor>
  <xdr:twoCellAnchor>
    <xdr:from>
      <xdr:col>3</xdr:col>
      <xdr:colOff>297180</xdr:colOff>
      <xdr:row>41</xdr:row>
      <xdr:rowOff>22860</xdr:rowOff>
    </xdr:from>
    <xdr:to>
      <xdr:col>4</xdr:col>
      <xdr:colOff>91440</xdr:colOff>
      <xdr:row>42</xdr:row>
      <xdr:rowOff>15240</xdr:rowOff>
    </xdr:to>
    <xdr:pic>
      <xdr:nvPicPr>
        <xdr:cNvPr id="3" name="Imagem 2">
          <a:extLst>
            <a:ext uri="{FF2B5EF4-FFF2-40B4-BE49-F238E27FC236}">
              <a16:creationId xmlns:a16="http://schemas.microsoft.com/office/drawing/2014/main" id="{D2A9B669-F176-474C-8DBC-3AA18C1C03D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37360" y="7635240"/>
          <a:ext cx="185928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45720</xdr:colOff>
      <xdr:row>0</xdr:row>
      <xdr:rowOff>68580</xdr:rowOff>
    </xdr:from>
    <xdr:to>
      <xdr:col>1</xdr:col>
      <xdr:colOff>541020</xdr:colOff>
      <xdr:row>3</xdr:row>
      <xdr:rowOff>45720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8B4161CB-5C44-4A02-B655-6E6F82EF9ED7}"/>
            </a:ext>
          </a:extLst>
        </xdr:cNvPr>
        <xdr:cNvSpPr/>
      </xdr:nvSpPr>
      <xdr:spPr>
        <a:xfrm>
          <a:off x="45720" y="68580"/>
          <a:ext cx="777240" cy="4800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Custos indiretos</a:t>
          </a:r>
        </a:p>
      </xdr:txBody>
    </xdr:sp>
    <xdr:clientData/>
  </xdr:twoCellAnchor>
  <xdr:twoCellAnchor>
    <xdr:from>
      <xdr:col>1</xdr:col>
      <xdr:colOff>1546860</xdr:colOff>
      <xdr:row>29</xdr:row>
      <xdr:rowOff>76200</xdr:rowOff>
    </xdr:from>
    <xdr:to>
      <xdr:col>1</xdr:col>
      <xdr:colOff>2514600</xdr:colOff>
      <xdr:row>29</xdr:row>
      <xdr:rowOff>434340</xdr:rowOff>
    </xdr:to>
    <xdr:pic>
      <xdr:nvPicPr>
        <xdr:cNvPr id="3" name="Imagem 2">
          <a:extLst>
            <a:ext uri="{FF2B5EF4-FFF2-40B4-BE49-F238E27FC236}">
              <a16:creationId xmlns:a16="http://schemas.microsoft.com/office/drawing/2014/main" id="{FC9666EE-6FAA-4105-B7D6-57860FD9AA2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0" y="5120640"/>
          <a:ext cx="96774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1089660</xdr:colOff>
      <xdr:row>30</xdr:row>
      <xdr:rowOff>45720</xdr:rowOff>
    </xdr:from>
    <xdr:to>
      <xdr:col>1</xdr:col>
      <xdr:colOff>2644140</xdr:colOff>
      <xdr:row>30</xdr:row>
      <xdr:rowOff>373380</xdr:rowOff>
    </xdr:to>
    <xdr:pic>
      <xdr:nvPicPr>
        <xdr:cNvPr id="4" name="Imagem 3">
          <a:extLst>
            <a:ext uri="{FF2B5EF4-FFF2-40B4-BE49-F238E27FC236}">
              <a16:creationId xmlns:a16="http://schemas.microsoft.com/office/drawing/2014/main" id="{796E2699-78B5-4C3A-8C3B-9EFDC4193023}"/>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5730240"/>
          <a:ext cx="155448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594360</xdr:colOff>
      <xdr:row>31</xdr:row>
      <xdr:rowOff>83820</xdr:rowOff>
    </xdr:from>
    <xdr:to>
      <xdr:col>1</xdr:col>
      <xdr:colOff>2011680</xdr:colOff>
      <xdr:row>33</xdr:row>
      <xdr:rowOff>76200</xdr:rowOff>
    </xdr:to>
    <xdr:pic>
      <xdr:nvPicPr>
        <xdr:cNvPr id="5" name="Imagem 4">
          <a:extLst>
            <a:ext uri="{FF2B5EF4-FFF2-40B4-BE49-F238E27FC236}">
              <a16:creationId xmlns:a16="http://schemas.microsoft.com/office/drawing/2014/main" id="{7D418036-6A08-4BF0-8A09-868CB475D47A}"/>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6149340"/>
          <a:ext cx="141732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251460</xdr:colOff>
      <xdr:row>0</xdr:row>
      <xdr:rowOff>76200</xdr:rowOff>
    </xdr:from>
    <xdr:to>
      <xdr:col>2</xdr:col>
      <xdr:colOff>7620</xdr:colOff>
      <xdr:row>2</xdr:row>
      <xdr:rowOff>144780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56AF41E8-AA52-4631-B720-A68789FDAB7A}"/>
            </a:ext>
          </a:extLst>
        </xdr:cNvPr>
        <xdr:cNvSpPr/>
      </xdr:nvSpPr>
      <xdr:spPr>
        <a:xfrm>
          <a:off x="251460" y="76200"/>
          <a:ext cx="708660" cy="43434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Custos indiretos</a:t>
          </a:r>
        </a:p>
      </xdr:txBody>
    </xdr:sp>
    <xdr:clientData/>
  </xdr:twoCellAnchor>
  <xdr:twoCellAnchor>
    <xdr:from>
      <xdr:col>2</xdr:col>
      <xdr:colOff>129540</xdr:colOff>
      <xdr:row>0</xdr:row>
      <xdr:rowOff>83820</xdr:rowOff>
    </xdr:from>
    <xdr:to>
      <xdr:col>2</xdr:col>
      <xdr:colOff>777240</xdr:colOff>
      <xdr:row>2</xdr:row>
      <xdr:rowOff>160020</xdr:rowOff>
    </xdr:to>
    <xdr:sp macro="" textlink="">
      <xdr:nvSpPr>
        <xdr:cNvPr id="3" name="Retângulo 2" descr="Resumo dos preços">
          <a:hlinkClick xmlns:r="http://schemas.openxmlformats.org/officeDocument/2006/relationships" r:id="rId2"/>
          <a:extLst>
            <a:ext uri="{FF2B5EF4-FFF2-40B4-BE49-F238E27FC236}">
              <a16:creationId xmlns:a16="http://schemas.microsoft.com/office/drawing/2014/main" id="{C0EE7FB4-E7E2-4D4D-ABD7-8D3867B6EA47}"/>
            </a:ext>
          </a:extLst>
        </xdr:cNvPr>
        <xdr:cNvSpPr/>
      </xdr:nvSpPr>
      <xdr:spPr>
        <a:xfrm>
          <a:off x="1082040" y="83820"/>
          <a:ext cx="647700" cy="44196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Custos diretos</a:t>
          </a:r>
        </a:p>
      </xdr:txBody>
    </xdr:sp>
    <xdr:clientData/>
  </xdr:twoCellAnchor>
  <xdr:twoCellAnchor>
    <xdr:from>
      <xdr:col>2</xdr:col>
      <xdr:colOff>1196340</xdr:colOff>
      <xdr:row>49</xdr:row>
      <xdr:rowOff>137160</xdr:rowOff>
    </xdr:from>
    <xdr:to>
      <xdr:col>2</xdr:col>
      <xdr:colOff>2034540</xdr:colOff>
      <xdr:row>50</xdr:row>
      <xdr:rowOff>83820</xdr:rowOff>
    </xdr:to>
    <xdr:pic>
      <xdr:nvPicPr>
        <xdr:cNvPr id="4" name="Imagem 3">
          <a:extLst>
            <a:ext uri="{FF2B5EF4-FFF2-40B4-BE49-F238E27FC236}">
              <a16:creationId xmlns:a16="http://schemas.microsoft.com/office/drawing/2014/main" id="{D9EA68D9-1A52-4EAE-B11A-DF9ACEF55755}"/>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8840" y="8282940"/>
          <a:ext cx="83820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716280</xdr:colOff>
      <xdr:row>51</xdr:row>
      <xdr:rowOff>53340</xdr:rowOff>
    </xdr:from>
    <xdr:to>
      <xdr:col>3</xdr:col>
      <xdr:colOff>350520</xdr:colOff>
      <xdr:row>52</xdr:row>
      <xdr:rowOff>0</xdr:rowOff>
    </xdr:to>
    <xdr:pic>
      <xdr:nvPicPr>
        <xdr:cNvPr id="5" name="Imagem 4">
          <a:extLst>
            <a:ext uri="{FF2B5EF4-FFF2-40B4-BE49-F238E27FC236}">
              <a16:creationId xmlns:a16="http://schemas.microsoft.com/office/drawing/2014/main" id="{A598749E-17E6-4BC0-A6D4-CD5C6EA4D052}"/>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8780" y="8740140"/>
          <a:ext cx="169164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403860</xdr:colOff>
      <xdr:row>53</xdr:row>
      <xdr:rowOff>15240</xdr:rowOff>
    </xdr:from>
    <xdr:to>
      <xdr:col>2</xdr:col>
      <xdr:colOff>1501140</xdr:colOff>
      <xdr:row>54</xdr:row>
      <xdr:rowOff>83820</xdr:rowOff>
    </xdr:to>
    <xdr:pic>
      <xdr:nvPicPr>
        <xdr:cNvPr id="6" name="Imagem 5">
          <a:extLst>
            <a:ext uri="{FF2B5EF4-FFF2-40B4-BE49-F238E27FC236}">
              <a16:creationId xmlns:a16="http://schemas.microsoft.com/office/drawing/2014/main" id="{11A41DA0-EF02-428A-98B1-800897B762DD}"/>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6360" y="9121140"/>
          <a:ext cx="109728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1546860</xdr:colOff>
      <xdr:row>80</xdr:row>
      <xdr:rowOff>76200</xdr:rowOff>
    </xdr:from>
    <xdr:to>
      <xdr:col>1</xdr:col>
      <xdr:colOff>2514600</xdr:colOff>
      <xdr:row>80</xdr:row>
      <xdr:rowOff>434340</xdr:rowOff>
    </xdr:to>
    <xdr:pic>
      <xdr:nvPicPr>
        <xdr:cNvPr id="7" name="Imagem 6">
          <a:extLst>
            <a:ext uri="{FF2B5EF4-FFF2-40B4-BE49-F238E27FC236}">
              <a16:creationId xmlns:a16="http://schemas.microsoft.com/office/drawing/2014/main" id="{3AC47F8F-3631-4648-A842-3202A6E15703}"/>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0" y="5303520"/>
          <a:ext cx="96774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1089660</xdr:colOff>
      <xdr:row>81</xdr:row>
      <xdr:rowOff>45720</xdr:rowOff>
    </xdr:from>
    <xdr:to>
      <xdr:col>1</xdr:col>
      <xdr:colOff>2644140</xdr:colOff>
      <xdr:row>81</xdr:row>
      <xdr:rowOff>373380</xdr:rowOff>
    </xdr:to>
    <xdr:pic>
      <xdr:nvPicPr>
        <xdr:cNvPr id="8" name="Imagem 7">
          <a:extLst>
            <a:ext uri="{FF2B5EF4-FFF2-40B4-BE49-F238E27FC236}">
              <a16:creationId xmlns:a16="http://schemas.microsoft.com/office/drawing/2014/main" id="{E6BA377E-B714-41BE-8211-621A8B772542}"/>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5730240"/>
          <a:ext cx="155448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1120140</xdr:colOff>
      <xdr:row>67</xdr:row>
      <xdr:rowOff>76200</xdr:rowOff>
    </xdr:from>
    <xdr:to>
      <xdr:col>5</xdr:col>
      <xdr:colOff>266700</xdr:colOff>
      <xdr:row>67</xdr:row>
      <xdr:rowOff>251460</xdr:rowOff>
    </xdr:to>
    <xdr:pic>
      <xdr:nvPicPr>
        <xdr:cNvPr id="9" name="Imagem 8">
          <a:extLst>
            <a:ext uri="{FF2B5EF4-FFF2-40B4-BE49-F238E27FC236}">
              <a16:creationId xmlns:a16="http://schemas.microsoft.com/office/drawing/2014/main" id="{009539EF-410C-49A2-8F5A-0F856812E52A}"/>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2640" y="11993880"/>
          <a:ext cx="304800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1836420</xdr:colOff>
      <xdr:row>78</xdr:row>
      <xdr:rowOff>152400</xdr:rowOff>
    </xdr:from>
    <xdr:to>
      <xdr:col>4</xdr:col>
      <xdr:colOff>449580</xdr:colOff>
      <xdr:row>80</xdr:row>
      <xdr:rowOff>60960</xdr:rowOff>
    </xdr:to>
    <xdr:pic>
      <xdr:nvPicPr>
        <xdr:cNvPr id="10" name="Imagem 9">
          <a:extLst>
            <a:ext uri="{FF2B5EF4-FFF2-40B4-BE49-F238E27FC236}">
              <a16:creationId xmlns:a16="http://schemas.microsoft.com/office/drawing/2014/main" id="{1196306A-AA6B-4578-9C9F-745E7E019CBC}"/>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88920" y="14356080"/>
          <a:ext cx="152400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1249680</xdr:colOff>
      <xdr:row>80</xdr:row>
      <xdr:rowOff>152400</xdr:rowOff>
    </xdr:from>
    <xdr:to>
      <xdr:col>4</xdr:col>
      <xdr:colOff>594360</xdr:colOff>
      <xdr:row>82</xdr:row>
      <xdr:rowOff>15240</xdr:rowOff>
    </xdr:to>
    <xdr:pic>
      <xdr:nvPicPr>
        <xdr:cNvPr id="11" name="Imagem 10">
          <a:extLst>
            <a:ext uri="{FF2B5EF4-FFF2-40B4-BE49-F238E27FC236}">
              <a16:creationId xmlns:a16="http://schemas.microsoft.com/office/drawing/2014/main" id="{563B7957-3EE4-4363-A87B-F8788F2EB31B}"/>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2180" y="15171420"/>
          <a:ext cx="2255520"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1661160</xdr:colOff>
      <xdr:row>82</xdr:row>
      <xdr:rowOff>106680</xdr:rowOff>
    </xdr:from>
    <xdr:to>
      <xdr:col>6</xdr:col>
      <xdr:colOff>198120</xdr:colOff>
      <xdr:row>82</xdr:row>
      <xdr:rowOff>281940</xdr:rowOff>
    </xdr:to>
    <xdr:pic>
      <xdr:nvPicPr>
        <xdr:cNvPr id="13" name="Imagem 12">
          <a:extLst>
            <a:ext uri="{FF2B5EF4-FFF2-40B4-BE49-F238E27FC236}">
              <a16:creationId xmlns:a16="http://schemas.microsoft.com/office/drawing/2014/main" id="{913B75B6-558B-40E9-B2CA-03EAFB9BDE72}"/>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13660" y="15590520"/>
          <a:ext cx="332232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68580</xdr:colOff>
      <xdr:row>0</xdr:row>
      <xdr:rowOff>76200</xdr:rowOff>
    </xdr:from>
    <xdr:to>
      <xdr:col>1</xdr:col>
      <xdr:colOff>655320</xdr:colOff>
      <xdr:row>3</xdr:row>
      <xdr:rowOff>99060</xdr:rowOff>
    </xdr:to>
    <xdr:sp macro="" textlink="">
      <xdr:nvSpPr>
        <xdr:cNvPr id="2" name="Retângulo 1" descr="Resumo dos preços">
          <a:hlinkClick xmlns:r="http://schemas.openxmlformats.org/officeDocument/2006/relationships" r:id="rId1"/>
          <a:extLst>
            <a:ext uri="{FF2B5EF4-FFF2-40B4-BE49-F238E27FC236}">
              <a16:creationId xmlns:a16="http://schemas.microsoft.com/office/drawing/2014/main" id="{46179A32-0894-4BE3-B248-E66423488C3D}"/>
            </a:ext>
          </a:extLst>
        </xdr:cNvPr>
        <xdr:cNvSpPr/>
      </xdr:nvSpPr>
      <xdr:spPr>
        <a:xfrm>
          <a:off x="68580" y="76200"/>
          <a:ext cx="586740" cy="52578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ysClr val="windowText" lastClr="000000"/>
              </a:solidFill>
            </a:rPr>
            <a:t>Preço</a:t>
          </a:r>
          <a:r>
            <a:rPr lang="pt-BR" sz="1100" baseline="0">
              <a:solidFill>
                <a:sysClr val="windowText" lastClr="000000"/>
              </a:solidFill>
            </a:rPr>
            <a:t> ASB</a:t>
          </a:r>
          <a:endParaRPr lang="pt-BR"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rspfs04\WORKFA\lydiane\ME\ADASA\AP\MODELO_ER_-_ADASA_xv_1.1x_-_AP_001-2008\(BASE)%20EMPRESA%20REFERENCIA%20-%20ANEEL%20-%20CEB%20AP%20-%20Final.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brspfs04\WORKFA\Users\Valuation%20Group\Business%20Valuation\SERVI&#199;OS\Regula&#231;&#227;o%20Econ&#244;mica\2.%20Projetos\2015\ADASA\6.%20Pesquisas%20DTT\0.%20ADASA%20-%20Planilhas\NT%20005-2010\MODELO_Custos%20Operacionais%20Eficientes%20-%20NT%20005-2010%20-%20Pos-AP001%20-%202010.xls?69D9A924" TargetMode="External"/><Relationship Id="rId1" Type="http://schemas.openxmlformats.org/officeDocument/2006/relationships/externalLinkPath" Target="file:///\\69D9A924\MODELO_Custos%20Operacionais%20Eficientes%20-%20NT%20005-2010%20-%20Pos-AP001%20-%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spfs\WORKFA\Users\Valuation%20Group\Business%20Valuation\SERVI&#199;OS\Regula&#231;&#227;o%20Econ&#244;mica\2.%20Projetos\2014\Agesan\2.%20Execu&#231;&#227;o\Entrega%202%20-%20Diagn&#243;stico%20da%20Situa&#231;&#227;o%20atual\Item%20V\Lages\DRE%20Hist&#243;rica_Lag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spfs01\WORKFAS\FAS\Clientes%202008\Henkel\WACC\WACC_junho_2008%20Ajustada_Henkel_v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rspbcfs\workfas\Users\CORPORA\Staff\Fernanda%20Sodr&#233;\Tr&#243;pico\Wacc%20VoiP%20Novembro_2004%20fernan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INEL DE CONTROLE"/>
      <sheetName val="Parâmetros"/>
      <sheetName val="Consumidores"/>
      <sheetName val="Dados Físicos"/>
      <sheetName val="Custos Adicionais"/>
      <sheetName val="EmpresasDadosGerais"/>
      <sheetName val="Índices"/>
      <sheetName val="Custo Mat de Tarefas"/>
      <sheetName val="Custos EPC-EPI"/>
      <sheetName val="Custo Equipe"/>
      <sheetName val="Custos de Veículo"/>
      <sheetName val="Administração e Sistemas"/>
      <sheetName val="Salarios"/>
      <sheetName val="Cluster1"/>
      <sheetName val="Cluster2"/>
      <sheetName val="Cluster3"/>
      <sheetName val="Cluster4"/>
      <sheetName val="Cluster5"/>
      <sheetName val="Cluster6"/>
      <sheetName val="Cluster7"/>
      <sheetName val="Cluster8"/>
      <sheetName val="Cluster9"/>
      <sheetName val="Cluster10"/>
      <sheetName val="Gastos Gerencias Regionais"/>
      <sheetName val="Tarefas Comerciais"/>
      <sheetName val="Tarefas de O&amp;M"/>
      <sheetName val="Gastos Sistemas Computacionais"/>
      <sheetName val="Plan1"/>
      <sheetName val="Faturamento"/>
      <sheetName val="Perdas velha"/>
      <sheetName val="Perdas Nao Técnicas"/>
      <sheetName val="Teleatendimentovelho"/>
      <sheetName val="Teleatendimento"/>
      <sheetName val="Relatorio 1"/>
      <sheetName val="Relatorio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P-Indices"/>
      <sheetName val="P-Salarios"/>
      <sheetName val="P-Equipes"/>
      <sheetName val="P-Veiculos"/>
      <sheetName val="E-Estrutura"/>
      <sheetName val="E-AdmSist"/>
      <sheetName val="E-ETA-ETE"/>
      <sheetName val="E-Elevatorias"/>
      <sheetName val="E-Comercial"/>
      <sheetName val="E-Economias"/>
      <sheetName val="E-Fisicos-Agua (Cap)"/>
      <sheetName val="E-Fisicos-Agua (ETA)"/>
      <sheetName val="E-Fisicos-Agua (Dist)"/>
      <sheetName val="E-Fisicos-Esgoto (Col)"/>
      <sheetName val="E-Fisicos-Esgoto (ETE)"/>
      <sheetName val="E-Fisicos-Esgoto (Emi)"/>
      <sheetName val="E-Adicionais"/>
      <sheetName val="C-Sistemas"/>
      <sheetName val="C-EstCentral"/>
      <sheetName val="C-Regional"/>
      <sheetName val="C-Elevatorias"/>
      <sheetName val="C-ETA-ETE Adm"/>
      <sheetName val="C-ETA-ETE Insumos"/>
      <sheetName val="C-EscritCom"/>
      <sheetName val="C-Faturamento"/>
      <sheetName val="C-Teleatendimento"/>
      <sheetName val="C-O&amp;M-Agua (Cap)"/>
      <sheetName val="C-O&amp;M-Agua (ETA)"/>
      <sheetName val="C-O&amp;M-Agua (Dist)"/>
      <sheetName val="C-O&amp;M-Esgoto (Col)"/>
      <sheetName val="C-O&amp;M-Esgoto (ETE)"/>
      <sheetName val="C-O&amp;M-Esgoto (Emi)"/>
      <sheetName val="S-Geral"/>
      <sheetName val="S-Sistemas"/>
      <sheetName val="S-EstCentral"/>
      <sheetName val="S-Regional"/>
      <sheetName val="S-Elevatorias"/>
      <sheetName val="S-ETA-ETE"/>
      <sheetName val="S-EscritCom"/>
      <sheetName val="S-Faturamento"/>
      <sheetName val="S-Teleatendimento"/>
      <sheetName val="S-O&amp;M Gasto"/>
      <sheetName val="S-O&amp;M Qtdes"/>
      <sheetName val="S-CustSistema"/>
    </sheetNames>
    <sheetDataSet>
      <sheetData sheetId="0">
        <row r="9">
          <cell r="D9">
            <v>0.12106060606060608</v>
          </cell>
        </row>
        <row r="12">
          <cell r="D12">
            <v>2.1985163471443414E-2</v>
          </cell>
        </row>
        <row r="13">
          <cell r="D13">
            <v>-1.1395249954443298E-2</v>
          </cell>
        </row>
        <row r="15">
          <cell r="D15">
            <v>-4.1405391204552E-2</v>
          </cell>
        </row>
        <row r="16">
          <cell r="D16">
            <v>-6.7652311243394214E-2</v>
          </cell>
        </row>
      </sheetData>
      <sheetData sheetId="1">
        <row r="9">
          <cell r="D9">
            <v>0.28999999999999998</v>
          </cell>
        </row>
        <row r="10">
          <cell r="D10">
            <v>0.08</v>
          </cell>
        </row>
        <row r="11">
          <cell r="D11">
            <v>415</v>
          </cell>
        </row>
        <row r="12">
          <cell r="D12">
            <v>8.3333333333333329E-2</v>
          </cell>
        </row>
        <row r="13">
          <cell r="D13">
            <v>2.7777777777777776E-2</v>
          </cell>
        </row>
        <row r="15">
          <cell r="D15">
            <v>0.1</v>
          </cell>
        </row>
        <row r="16">
          <cell r="D16">
            <v>0.2</v>
          </cell>
        </row>
        <row r="17">
          <cell r="D17">
            <v>0.4</v>
          </cell>
        </row>
        <row r="18">
          <cell r="D18">
            <v>1.4999999999999999E-2</v>
          </cell>
        </row>
        <row r="19">
          <cell r="D19">
            <v>0</v>
          </cell>
        </row>
        <row r="20">
          <cell r="D20">
            <v>0.2</v>
          </cell>
        </row>
        <row r="21">
          <cell r="D21">
            <v>0</v>
          </cell>
        </row>
        <row r="22">
          <cell r="D22">
            <v>7.5</v>
          </cell>
        </row>
        <row r="23">
          <cell r="D23">
            <v>6</v>
          </cell>
        </row>
        <row r="24">
          <cell r="D24">
            <v>5</v>
          </cell>
        </row>
        <row r="25">
          <cell r="D25">
            <v>20</v>
          </cell>
        </row>
        <row r="26">
          <cell r="D26">
            <v>46</v>
          </cell>
        </row>
        <row r="27">
          <cell r="D27">
            <v>50</v>
          </cell>
        </row>
        <row r="28">
          <cell r="D28">
            <v>12</v>
          </cell>
        </row>
      </sheetData>
      <sheetData sheetId="2">
        <row r="9">
          <cell r="C9" t="str">
            <v>PRESIDENTE</v>
          </cell>
          <cell r="E9">
            <v>22456.841666666671</v>
          </cell>
          <cell r="F9">
            <v>22950.559001760659</v>
          </cell>
          <cell r="G9">
            <v>275406.70802112791</v>
          </cell>
          <cell r="L9">
            <v>22950.559001760659</v>
          </cell>
          <cell r="M9">
            <v>7650.1863339202191</v>
          </cell>
          <cell r="N9">
            <v>88742.161473474553</v>
          </cell>
          <cell r="O9">
            <v>24480.596268544705</v>
          </cell>
          <cell r="P9">
            <v>4131.1006203169181</v>
          </cell>
          <cell r="Q9">
            <v>55081.341604225585</v>
          </cell>
          <cell r="R9">
            <v>0</v>
          </cell>
          <cell r="S9">
            <v>203035.94530224265</v>
          </cell>
          <cell r="T9">
            <v>478442.65332337056</v>
          </cell>
          <cell r="U9">
            <v>39870.22111028088</v>
          </cell>
          <cell r="V9">
            <v>277.3580598976061</v>
          </cell>
        </row>
        <row r="10">
          <cell r="C10" t="str">
            <v>DIRETOR</v>
          </cell>
          <cell r="E10">
            <v>20204.134999999998</v>
          </cell>
          <cell r="F10">
            <v>20648.32621077411</v>
          </cell>
          <cell r="G10">
            <v>247779.91452928932</v>
          </cell>
          <cell r="L10">
            <v>20648.32621077411</v>
          </cell>
          <cell r="M10">
            <v>6882.7754035913695</v>
          </cell>
          <cell r="N10">
            <v>79840.194681659894</v>
          </cell>
          <cell r="O10">
            <v>22024.881291492387</v>
          </cell>
          <cell r="P10">
            <v>3716.6987179393395</v>
          </cell>
          <cell r="Q10">
            <v>49555.982905857869</v>
          </cell>
          <cell r="R10">
            <v>0</v>
          </cell>
          <cell r="S10">
            <v>182668.85921131496</v>
          </cell>
          <cell r="T10">
            <v>430448.77374060429</v>
          </cell>
          <cell r="U10">
            <v>35870.731145050355</v>
          </cell>
          <cell r="V10">
            <v>249.53552100904597</v>
          </cell>
        </row>
        <row r="11">
          <cell r="C11" t="str">
            <v>AN.SUPORTE A-V</v>
          </cell>
          <cell r="E11">
            <v>14056.206458333332</v>
          </cell>
          <cell r="F11">
            <v>14365.23445510815</v>
          </cell>
          <cell r="G11">
            <v>172382.8134612978</v>
          </cell>
          <cell r="L11">
            <v>14365.23445510815</v>
          </cell>
          <cell r="M11">
            <v>4788.4114850360502</v>
          </cell>
          <cell r="N11">
            <v>55545.573226418179</v>
          </cell>
          <cell r="O11">
            <v>15322.916752115359</v>
          </cell>
          <cell r="P11">
            <v>2585.7422019194669</v>
          </cell>
          <cell r="Q11">
            <v>34476.562692259562</v>
          </cell>
          <cell r="R11">
            <v>0</v>
          </cell>
          <cell r="S11">
            <v>127084.44081285677</v>
          </cell>
          <cell r="T11">
            <v>299467.25427415455</v>
          </cell>
          <cell r="U11">
            <v>24955.604522846214</v>
          </cell>
          <cell r="V11">
            <v>173.60420537632149</v>
          </cell>
        </row>
        <row r="12">
          <cell r="C12" t="str">
            <v>ANAL.OPERAC. IV</v>
          </cell>
          <cell r="E12">
            <v>12310.005869565217</v>
          </cell>
          <cell r="F12">
            <v>12580.643360942036</v>
          </cell>
          <cell r="G12">
            <v>150967.72033130444</v>
          </cell>
          <cell r="L12">
            <v>12580.643360942036</v>
          </cell>
          <cell r="M12">
            <v>4193.5477869806791</v>
          </cell>
          <cell r="N12">
            <v>48645.154328975877</v>
          </cell>
          <cell r="O12">
            <v>13419.352918338176</v>
          </cell>
          <cell r="P12">
            <v>2264.5158049695665</v>
          </cell>
          <cell r="Q12">
            <v>30193.544066260889</v>
          </cell>
          <cell r="R12">
            <v>0</v>
          </cell>
          <cell r="S12">
            <v>111296.75826646722</v>
          </cell>
          <cell r="T12">
            <v>262264.47859777167</v>
          </cell>
          <cell r="U12">
            <v>21855.373216480973</v>
          </cell>
          <cell r="V12">
            <v>152.03737889725895</v>
          </cell>
        </row>
        <row r="13">
          <cell r="C13" t="str">
            <v>AN.SUPORTE A-IV</v>
          </cell>
          <cell r="E13">
            <v>11291.15836666667</v>
          </cell>
          <cell r="F13">
            <v>11539.396329139792</v>
          </cell>
          <cell r="G13">
            <v>138472.75594967749</v>
          </cell>
          <cell r="L13">
            <v>11539.39632913979</v>
          </cell>
          <cell r="M13">
            <v>3846.4654430465966</v>
          </cell>
          <cell r="N13">
            <v>44618.999139340522</v>
          </cell>
          <cell r="O13">
            <v>12308.68941774911</v>
          </cell>
          <cell r="P13">
            <v>2077.0913392451621</v>
          </cell>
          <cell r="Q13">
            <v>27694.551189935501</v>
          </cell>
          <cell r="R13">
            <v>0</v>
          </cell>
          <cell r="S13">
            <v>102085.19285845668</v>
          </cell>
          <cell r="T13">
            <v>240557.94880813418</v>
          </cell>
          <cell r="U13">
            <v>20046.495734011183</v>
          </cell>
          <cell r="V13">
            <v>139.45388336703431</v>
          </cell>
        </row>
        <row r="14">
          <cell r="C14" t="str">
            <v>AN.SUPORTE A-III</v>
          </cell>
          <cell r="E14">
            <v>10932.878888888888</v>
          </cell>
          <cell r="F14">
            <v>11173.240018474604</v>
          </cell>
          <cell r="G14">
            <v>134078.88022169523</v>
          </cell>
          <cell r="L14">
            <v>11173.240018474602</v>
          </cell>
          <cell r="M14">
            <v>3724.4133394915339</v>
          </cell>
          <cell r="N14">
            <v>43203.194738101796</v>
          </cell>
          <cell r="O14">
            <v>11918.12268637291</v>
          </cell>
          <cell r="P14">
            <v>2011.1832033254284</v>
          </cell>
          <cell r="Q14">
            <v>26815.776044339047</v>
          </cell>
          <cell r="R14">
            <v>0</v>
          </cell>
          <cell r="S14">
            <v>98845.930030105315</v>
          </cell>
          <cell r="T14">
            <v>232924.81025180055</v>
          </cell>
          <cell r="U14">
            <v>19410.400854316711</v>
          </cell>
          <cell r="V14">
            <v>135.02887550829018</v>
          </cell>
        </row>
        <row r="15">
          <cell r="C15" t="str">
            <v>ANAL.OPERAC. III</v>
          </cell>
          <cell r="E15">
            <v>9956.3983854166672</v>
          </cell>
          <cell r="F15">
            <v>10175.291431506868</v>
          </cell>
          <cell r="G15">
            <v>122103.49717808241</v>
          </cell>
          <cell r="I15">
            <v>498</v>
          </cell>
          <cell r="L15">
            <v>10216.791431506867</v>
          </cell>
          <cell r="M15">
            <v>3405.5971438356223</v>
          </cell>
          <cell r="N15">
            <v>39504.926868493218</v>
          </cell>
          <cell r="O15">
            <v>10897.910860273993</v>
          </cell>
          <cell r="P15">
            <v>1831.5524576712362</v>
          </cell>
          <cell r="Q15">
            <v>24420.699435616483</v>
          </cell>
          <cell r="R15">
            <v>0</v>
          </cell>
          <cell r="S15">
            <v>90775.478197397417</v>
          </cell>
          <cell r="T15">
            <v>212878.97537547984</v>
          </cell>
          <cell r="U15">
            <v>17739.914614623322</v>
          </cell>
          <cell r="V15">
            <v>123.40810166694483</v>
          </cell>
        </row>
        <row r="16">
          <cell r="C16" t="str">
            <v>AN.SUPORTE B-III</v>
          </cell>
          <cell r="E16">
            <v>8422.9791666666661</v>
          </cell>
          <cell r="F16">
            <v>8608.1597405623943</v>
          </cell>
          <cell r="G16">
            <v>103297.91688674873</v>
          </cell>
          <cell r="L16">
            <v>8608.1597405623943</v>
          </cell>
          <cell r="M16">
            <v>2869.3865801874645</v>
          </cell>
          <cell r="N16">
            <v>33284.884330174587</v>
          </cell>
          <cell r="O16">
            <v>9182.0370565998874</v>
          </cell>
          <cell r="P16">
            <v>1549.4687533012309</v>
          </cell>
          <cell r="Q16">
            <v>20659.583377349747</v>
          </cell>
          <cell r="R16">
            <v>0</v>
          </cell>
          <cell r="S16">
            <v>76153.519838175314</v>
          </cell>
          <cell r="T16">
            <v>179451.43672492405</v>
          </cell>
          <cell r="U16">
            <v>14954.28639374367</v>
          </cell>
          <cell r="V16">
            <v>104.02981839126032</v>
          </cell>
        </row>
        <row r="17">
          <cell r="C17" t="str">
            <v>ANAL.OPERAC. II</v>
          </cell>
          <cell r="E17">
            <v>7928.1062847222238</v>
          </cell>
          <cell r="F17">
            <v>8102.4069974108197</v>
          </cell>
          <cell r="G17">
            <v>97228.883968929833</v>
          </cell>
          <cell r="I17">
            <v>498</v>
          </cell>
          <cell r="L17">
            <v>8143.9069974108188</v>
          </cell>
          <cell r="M17">
            <v>2714.6356658036061</v>
          </cell>
          <cell r="N17">
            <v>31489.773723321832</v>
          </cell>
          <cell r="O17">
            <v>8686.8341305715403</v>
          </cell>
          <cell r="P17">
            <v>1458.4332595339474</v>
          </cell>
          <cell r="Q17">
            <v>19445.776793785968</v>
          </cell>
          <cell r="R17">
            <v>0</v>
          </cell>
          <cell r="S17">
            <v>72437.360570427729</v>
          </cell>
          <cell r="T17">
            <v>169666.24453935755</v>
          </cell>
          <cell r="U17">
            <v>14138.853711613128</v>
          </cell>
          <cell r="V17">
            <v>98.357243211221771</v>
          </cell>
        </row>
        <row r="18">
          <cell r="C18" t="str">
            <v>AN.SUPORTE A-II</v>
          </cell>
          <cell r="E18">
            <v>6613.185625000001</v>
          </cell>
          <cell r="F18">
            <v>6758.5775920326259</v>
          </cell>
          <cell r="G18">
            <v>81102.931104391508</v>
          </cell>
          <cell r="L18">
            <v>6758.577592032625</v>
          </cell>
          <cell r="M18">
            <v>2252.8591973442085</v>
          </cell>
          <cell r="N18">
            <v>26133.166689192818</v>
          </cell>
          <cell r="O18">
            <v>7209.1494315014679</v>
          </cell>
          <cell r="P18">
            <v>1216.5439665658726</v>
          </cell>
          <cell r="Q18">
            <v>16220.586220878302</v>
          </cell>
          <cell r="R18">
            <v>0</v>
          </cell>
          <cell r="S18">
            <v>59790.883097515296</v>
          </cell>
          <cell r="T18">
            <v>140893.81420190679</v>
          </cell>
          <cell r="U18">
            <v>11741.151183492233</v>
          </cell>
          <cell r="V18">
            <v>81.677573450380748</v>
          </cell>
        </row>
        <row r="19">
          <cell r="C19" t="str">
            <v>TEC.CONTAB. II</v>
          </cell>
          <cell r="E19">
            <v>6534.2722916666671</v>
          </cell>
          <cell r="F19">
            <v>6677.929336165882</v>
          </cell>
          <cell r="G19">
            <v>80135.152033990584</v>
          </cell>
          <cell r="L19">
            <v>6677.929336165882</v>
          </cell>
          <cell r="M19">
            <v>2225.9764453886273</v>
          </cell>
          <cell r="N19">
            <v>25821.326766508075</v>
          </cell>
          <cell r="O19">
            <v>7123.1246252436076</v>
          </cell>
          <cell r="P19">
            <v>1202.0272805098587</v>
          </cell>
          <cell r="Q19">
            <v>16027.030406798118</v>
          </cell>
          <cell r="R19">
            <v>0</v>
          </cell>
          <cell r="S19">
            <v>59077.414860614175</v>
          </cell>
          <cell r="T19">
            <v>139212.56689460477</v>
          </cell>
          <cell r="U19">
            <v>11601.047241217064</v>
          </cell>
          <cell r="V19">
            <v>80.702937330205657</v>
          </cell>
        </row>
        <row r="20">
          <cell r="C20" t="str">
            <v>TEC.OPERAC. IV</v>
          </cell>
          <cell r="E20">
            <v>6300.295196078433</v>
          </cell>
          <cell r="F20">
            <v>6438.8082158825673</v>
          </cell>
          <cell r="G20">
            <v>77265.698590590808</v>
          </cell>
          <cell r="L20">
            <v>6438.8082158825673</v>
          </cell>
          <cell r="M20">
            <v>2146.2694052941888</v>
          </cell>
          <cell r="N20">
            <v>24896.725101412594</v>
          </cell>
          <cell r="O20">
            <v>6868.0620969414058</v>
          </cell>
          <cell r="P20">
            <v>1158.9854788588621</v>
          </cell>
          <cell r="Q20">
            <v>15453.139718118162</v>
          </cell>
          <cell r="R20">
            <v>0</v>
          </cell>
          <cell r="S20">
            <v>56961.990016507778</v>
          </cell>
          <cell r="T20">
            <v>134227.68860709859</v>
          </cell>
          <cell r="U20">
            <v>11185.640717258217</v>
          </cell>
          <cell r="V20">
            <v>77.81315281570933</v>
          </cell>
        </row>
        <row r="21">
          <cell r="C21" t="str">
            <v>TEC.CONTAB. III</v>
          </cell>
          <cell r="E21">
            <v>6095.7141666666676</v>
          </cell>
          <cell r="F21">
            <v>6229.7294390960278</v>
          </cell>
          <cell r="G21">
            <v>74756.753269152337</v>
          </cell>
          <cell r="L21">
            <v>6229.7294390960278</v>
          </cell>
          <cell r="M21">
            <v>2076.5764796986759</v>
          </cell>
          <cell r="N21">
            <v>24088.28716450464</v>
          </cell>
          <cell r="O21">
            <v>6645.0447350357636</v>
          </cell>
          <cell r="P21">
            <v>1121.3512990372851</v>
          </cell>
          <cell r="Q21">
            <v>14951.350653830468</v>
          </cell>
          <cell r="R21">
            <v>0</v>
          </cell>
          <cell r="S21">
            <v>55112.339771202853</v>
          </cell>
          <cell r="T21">
            <v>129869.09304035519</v>
          </cell>
          <cell r="U21">
            <v>10822.4244200296</v>
          </cell>
          <cell r="V21">
            <v>75.286430748031989</v>
          </cell>
        </row>
        <row r="22">
          <cell r="C22" t="str">
            <v>TEC.SEG.TRAB.III</v>
          </cell>
          <cell r="E22">
            <v>5847.2177083333336</v>
          </cell>
          <cell r="F22">
            <v>5975.7697455041607</v>
          </cell>
          <cell r="G22">
            <v>71709.236946049932</v>
          </cell>
          <cell r="L22">
            <v>5975.7697455041607</v>
          </cell>
          <cell r="M22">
            <v>1991.923248501387</v>
          </cell>
          <cell r="N22">
            <v>23106.309682616091</v>
          </cell>
          <cell r="O22">
            <v>6374.1543952044394</v>
          </cell>
          <cell r="P22">
            <v>1075.6385541907489</v>
          </cell>
          <cell r="Q22">
            <v>14341.847389209986</v>
          </cell>
          <cell r="R22">
            <v>0</v>
          </cell>
          <cell r="S22">
            <v>52865.643015226815</v>
          </cell>
          <cell r="T22">
            <v>124574.87996127675</v>
          </cell>
          <cell r="U22">
            <v>10381.239996773062</v>
          </cell>
          <cell r="V22">
            <v>72.217321716682179</v>
          </cell>
        </row>
        <row r="23">
          <cell r="C23" t="str">
            <v>TEC.SECRET. III</v>
          </cell>
          <cell r="E23">
            <v>5695.6366666666663</v>
          </cell>
          <cell r="F23">
            <v>5820.8561698572803</v>
          </cell>
          <cell r="G23">
            <v>69850.27403828736</v>
          </cell>
          <cell r="L23">
            <v>5820.8561698572794</v>
          </cell>
          <cell r="M23">
            <v>1940.2853899524266</v>
          </cell>
          <cell r="N23">
            <v>22507.310523448145</v>
          </cell>
          <cell r="O23">
            <v>6208.9132478477641</v>
          </cell>
          <cell r="P23">
            <v>1047.7541105743103</v>
          </cell>
          <cell r="Q23">
            <v>13970.054807657472</v>
          </cell>
          <cell r="R23">
            <v>0</v>
          </cell>
          <cell r="S23">
            <v>51495.174249337389</v>
          </cell>
          <cell r="T23">
            <v>121345.44828762475</v>
          </cell>
          <cell r="U23">
            <v>10112.120690635396</v>
          </cell>
          <cell r="V23">
            <v>70.345187413115795</v>
          </cell>
        </row>
        <row r="24">
          <cell r="C24" t="str">
            <v>ASSESSOR</v>
          </cell>
          <cell r="E24">
            <v>5286.5783914728681</v>
          </cell>
          <cell r="F24">
            <v>5402.8046816139995</v>
          </cell>
          <cell r="G24">
            <v>64833.656179367994</v>
          </cell>
          <cell r="L24">
            <v>5402.8046816139995</v>
          </cell>
          <cell r="M24">
            <v>1800.9348938713331</v>
          </cell>
          <cell r="N24">
            <v>20890.844768907467</v>
          </cell>
          <cell r="O24">
            <v>5762.9916603882666</v>
          </cell>
          <cell r="P24">
            <v>972.50484269051992</v>
          </cell>
          <cell r="Q24">
            <v>12966.7312358736</v>
          </cell>
          <cell r="R24">
            <v>0</v>
          </cell>
          <cell r="S24">
            <v>47796.812083345183</v>
          </cell>
          <cell r="T24">
            <v>112630.46826271317</v>
          </cell>
          <cell r="U24">
            <v>9385.8723552260981</v>
          </cell>
          <cell r="V24">
            <v>65.293025079833725</v>
          </cell>
        </row>
        <row r="25">
          <cell r="C25" t="str">
            <v>TEC.OPERAC. VI</v>
          </cell>
          <cell r="E25">
            <v>5244.7441666666664</v>
          </cell>
          <cell r="F25">
            <v>5360.0507245367326</v>
          </cell>
          <cell r="G25">
            <v>64320.608694440787</v>
          </cell>
          <cell r="L25">
            <v>5360.0507245367317</v>
          </cell>
          <cell r="M25">
            <v>1786.6835748455774</v>
          </cell>
          <cell r="N25">
            <v>20725.529468208697</v>
          </cell>
          <cell r="O25">
            <v>5717.3874395058483</v>
          </cell>
          <cell r="P25">
            <v>964.80913041661177</v>
          </cell>
          <cell r="Q25">
            <v>12864.121738888158</v>
          </cell>
          <cell r="R25">
            <v>0</v>
          </cell>
          <cell r="S25">
            <v>47418.582076401624</v>
          </cell>
          <cell r="T25">
            <v>111739.19077084241</v>
          </cell>
          <cell r="U25">
            <v>9311.5992309035337</v>
          </cell>
          <cell r="V25">
            <v>64.776342475850669</v>
          </cell>
        </row>
        <row r="26">
          <cell r="C26" t="str">
            <v>TEC.OPERAC. III</v>
          </cell>
          <cell r="E26">
            <v>5176.5381147540984</v>
          </cell>
          <cell r="F26">
            <v>5290.3451514231247</v>
          </cell>
          <cell r="G26">
            <v>63484.1418170775</v>
          </cell>
          <cell r="L26">
            <v>5290.3451514231247</v>
          </cell>
          <cell r="M26">
            <v>1763.4483838077083</v>
          </cell>
          <cell r="N26">
            <v>20456.001252169419</v>
          </cell>
          <cell r="O26">
            <v>5643.0348281846673</v>
          </cell>
          <cell r="P26">
            <v>952.26212725616244</v>
          </cell>
          <cell r="Q26">
            <v>12696.828363415501</v>
          </cell>
          <cell r="R26">
            <v>0</v>
          </cell>
          <cell r="S26">
            <v>46801.920106256584</v>
          </cell>
          <cell r="T26">
            <v>110286.06192333408</v>
          </cell>
          <cell r="U26">
            <v>9190.5051602778403</v>
          </cell>
          <cell r="V26">
            <v>63.933948941063235</v>
          </cell>
        </row>
        <row r="27">
          <cell r="C27" t="str">
            <v>AG.SUPORTE B-III</v>
          </cell>
          <cell r="E27">
            <v>5127.2628665123457</v>
          </cell>
          <cell r="F27">
            <v>5239.9865787936815</v>
          </cell>
          <cell r="G27">
            <v>62879.838945524178</v>
          </cell>
          <cell r="L27">
            <v>5239.9865787936815</v>
          </cell>
          <cell r="M27">
            <v>1746.6621929312271</v>
          </cell>
          <cell r="N27">
            <v>20261.281438002232</v>
          </cell>
          <cell r="O27">
            <v>5589.3190173799267</v>
          </cell>
          <cell r="P27">
            <v>943.19758418286267</v>
          </cell>
          <cell r="Q27">
            <v>12575.967789104836</v>
          </cell>
          <cell r="R27">
            <v>0</v>
          </cell>
          <cell r="S27">
            <v>46356.414600394761</v>
          </cell>
          <cell r="T27">
            <v>109236.25354591894</v>
          </cell>
          <cell r="U27">
            <v>9103.0211288265782</v>
          </cell>
          <cell r="V27">
            <v>63.325364374445762</v>
          </cell>
        </row>
        <row r="28">
          <cell r="C28" t="str">
            <v>TEC.INFORMAT.II</v>
          </cell>
          <cell r="E28">
            <v>4929.7445370370378</v>
          </cell>
          <cell r="F28">
            <v>5038.1257765562523</v>
          </cell>
          <cell r="G28">
            <v>60457.509318675031</v>
          </cell>
          <cell r="L28">
            <v>5038.1257765562523</v>
          </cell>
          <cell r="M28">
            <v>1679.375258852084</v>
          </cell>
          <cell r="N28">
            <v>19480.753002684174</v>
          </cell>
          <cell r="O28">
            <v>5374.0008283266698</v>
          </cell>
          <cell r="P28">
            <v>906.86263978012539</v>
          </cell>
          <cell r="Q28">
            <v>12091.501863735008</v>
          </cell>
          <cell r="R28">
            <v>0</v>
          </cell>
          <cell r="S28">
            <v>44570.619369934313</v>
          </cell>
          <cell r="T28">
            <v>105028.12868860934</v>
          </cell>
          <cell r="U28">
            <v>8752.3440573841126</v>
          </cell>
          <cell r="V28">
            <v>60.885871703541646</v>
          </cell>
        </row>
        <row r="29">
          <cell r="C29" t="str">
            <v>AG.OPERAC. A-VI</v>
          </cell>
          <cell r="E29">
            <v>4918.8289639639643</v>
          </cell>
          <cell r="F29">
            <v>5026.9702228247825</v>
          </cell>
          <cell r="G29">
            <v>60323.64267389739</v>
          </cell>
          <cell r="I29">
            <v>498</v>
          </cell>
          <cell r="L29">
            <v>5068.4702228247825</v>
          </cell>
          <cell r="M29">
            <v>1689.4900742749273</v>
          </cell>
          <cell r="N29">
            <v>19598.084861589159</v>
          </cell>
          <cell r="O29">
            <v>5406.3682376797688</v>
          </cell>
          <cell r="P29">
            <v>904.85464010846079</v>
          </cell>
          <cell r="Q29">
            <v>12064.728534779479</v>
          </cell>
          <cell r="R29">
            <v>0</v>
          </cell>
          <cell r="S29">
            <v>45229.996571256575</v>
          </cell>
          <cell r="T29">
            <v>105553.63924515396</v>
          </cell>
          <cell r="U29">
            <v>8796.1366037628304</v>
          </cell>
          <cell r="V29">
            <v>61.19051550443708</v>
          </cell>
        </row>
        <row r="30">
          <cell r="C30" t="str">
            <v>TEC.INFORMAT.III</v>
          </cell>
          <cell r="E30">
            <v>4898.1683333333331</v>
          </cell>
          <cell r="F30">
            <v>5005.8553648523139</v>
          </cell>
          <cell r="G30">
            <v>60070.264378227766</v>
          </cell>
          <cell r="L30">
            <v>5005.8553648523139</v>
          </cell>
          <cell r="M30">
            <v>1668.6184549507711</v>
          </cell>
          <cell r="N30">
            <v>19355.974077428946</v>
          </cell>
          <cell r="O30">
            <v>5339.5790558424687</v>
          </cell>
          <cell r="P30">
            <v>901.05396567341643</v>
          </cell>
          <cell r="Q30">
            <v>12014.052875645553</v>
          </cell>
          <cell r="R30">
            <v>0</v>
          </cell>
          <cell r="S30">
            <v>44285.13379439347</v>
          </cell>
          <cell r="T30">
            <v>104355.39817262124</v>
          </cell>
          <cell r="U30">
            <v>8696.2831810517691</v>
          </cell>
          <cell r="V30">
            <v>60.495882998621006</v>
          </cell>
        </row>
        <row r="31">
          <cell r="C31" t="str">
            <v>AN.SUPORTE A-I</v>
          </cell>
          <cell r="E31">
            <v>4876.5501255707759</v>
          </cell>
          <cell r="F31">
            <v>4983.7618772581372</v>
          </cell>
          <cell r="G31">
            <v>59805.142527097647</v>
          </cell>
          <cell r="L31">
            <v>4983.7618772581372</v>
          </cell>
          <cell r="M31">
            <v>1661.2539590860456</v>
          </cell>
          <cell r="N31">
            <v>19270.545925398128</v>
          </cell>
          <cell r="O31">
            <v>5316.0126690753459</v>
          </cell>
          <cell r="P31">
            <v>897.07713790646471</v>
          </cell>
          <cell r="Q31">
            <v>11961.02850541953</v>
          </cell>
          <cell r="R31">
            <v>0</v>
          </cell>
          <cell r="S31">
            <v>44089.680074143653</v>
          </cell>
          <cell r="T31">
            <v>103894.82260124129</v>
          </cell>
          <cell r="U31">
            <v>8657.9018834367744</v>
          </cell>
          <cell r="V31">
            <v>60.228882667386259</v>
          </cell>
        </row>
        <row r="32">
          <cell r="C32" t="str">
            <v>AG.OPERAC. B-III</v>
          </cell>
          <cell r="E32">
            <v>4575.4659761904768</v>
          </cell>
          <cell r="F32">
            <v>4676.0583436350516</v>
          </cell>
          <cell r="G32">
            <v>56112.70012362062</v>
          </cell>
          <cell r="L32">
            <v>4676.0583436350516</v>
          </cell>
          <cell r="M32">
            <v>1558.6861145450171</v>
          </cell>
          <cell r="N32">
            <v>18080.758928722196</v>
          </cell>
          <cell r="O32">
            <v>4987.795566544055</v>
          </cell>
          <cell r="P32">
            <v>841.69050185430922</v>
          </cell>
          <cell r="Q32">
            <v>11222.540024724125</v>
          </cell>
          <cell r="R32">
            <v>0</v>
          </cell>
          <cell r="S32">
            <v>41367.52948002475</v>
          </cell>
          <cell r="T32">
            <v>97480.229603645363</v>
          </cell>
          <cell r="U32">
            <v>8123.3524669704466</v>
          </cell>
          <cell r="V32">
            <v>56.510278031098764</v>
          </cell>
        </row>
        <row r="33">
          <cell r="C33" t="str">
            <v>ANAL.OPERAC. I</v>
          </cell>
          <cell r="E33">
            <v>4552.3954074074063</v>
          </cell>
          <cell r="F33">
            <v>4652.4805646259065</v>
          </cell>
          <cell r="G33">
            <v>55829.766775510878</v>
          </cell>
          <cell r="I33">
            <v>498</v>
          </cell>
          <cell r="L33">
            <v>4693.9805646259065</v>
          </cell>
          <cell r="M33">
            <v>1564.6601882086354</v>
          </cell>
          <cell r="N33">
            <v>18150.058183220168</v>
          </cell>
          <cell r="O33">
            <v>5006.9126022676337</v>
          </cell>
          <cell r="P33">
            <v>837.44650163266317</v>
          </cell>
          <cell r="Q33">
            <v>11165.953355102176</v>
          </cell>
          <cell r="R33">
            <v>0</v>
          </cell>
          <cell r="S33">
            <v>41917.011395057183</v>
          </cell>
          <cell r="T33">
            <v>97746.778170568054</v>
          </cell>
          <cell r="U33">
            <v>8145.5648475473381</v>
          </cell>
          <cell r="V33">
            <v>56.664798939459743</v>
          </cell>
        </row>
        <row r="34">
          <cell r="C34" t="str">
            <v>CONS. FISCAL</v>
          </cell>
          <cell r="E34">
            <v>4413.76</v>
          </cell>
          <cell r="F34">
            <v>4510.7972351237186</v>
          </cell>
          <cell r="G34">
            <v>54129.566821484623</v>
          </cell>
          <cell r="L34">
            <v>4510.7972351237186</v>
          </cell>
          <cell r="M34">
            <v>1503.5990783745729</v>
          </cell>
          <cell r="N34">
            <v>17441.749309145045</v>
          </cell>
          <cell r="O34">
            <v>4811.5170507986331</v>
          </cell>
          <cell r="P34">
            <v>811.9435023222693</v>
          </cell>
          <cell r="Q34">
            <v>10825.913364296925</v>
          </cell>
          <cell r="R34">
            <v>0</v>
          </cell>
          <cell r="S34">
            <v>39905.519540061163</v>
          </cell>
          <cell r="T34">
            <v>94035.086361545778</v>
          </cell>
          <cell r="U34">
            <v>7836.2571967954818</v>
          </cell>
          <cell r="V34">
            <v>54.513093542925091</v>
          </cell>
        </row>
        <row r="35">
          <cell r="C35" t="str">
            <v>AG.SUPORTE A-III</v>
          </cell>
          <cell r="E35">
            <v>4317.2598148148154</v>
          </cell>
          <cell r="F35">
            <v>4412.1754775922127</v>
          </cell>
          <cell r="G35">
            <v>52946.105731106552</v>
          </cell>
          <cell r="L35">
            <v>4412.1754775922127</v>
          </cell>
          <cell r="M35">
            <v>1470.7251591974041</v>
          </cell>
          <cell r="N35">
            <v>17060.411846689891</v>
          </cell>
          <cell r="O35">
            <v>4706.3205094316936</v>
          </cell>
          <cell r="P35">
            <v>794.19158596659827</v>
          </cell>
          <cell r="Q35">
            <v>10589.221146221311</v>
          </cell>
          <cell r="R35">
            <v>0</v>
          </cell>
          <cell r="S35">
            <v>39033.045725099109</v>
          </cell>
          <cell r="T35">
            <v>91979.151456205669</v>
          </cell>
          <cell r="U35">
            <v>7664.9292880171388</v>
          </cell>
          <cell r="V35">
            <v>53.321247220988795</v>
          </cell>
        </row>
        <row r="36">
          <cell r="C36" t="str">
            <v>TEC.SEG.TRAB.II</v>
          </cell>
          <cell r="E36">
            <v>4079.4641666666666</v>
          </cell>
          <cell r="F36">
            <v>4169.1518532467289</v>
          </cell>
          <cell r="G36">
            <v>50029.822238960747</v>
          </cell>
          <cell r="L36">
            <v>4169.1518532467289</v>
          </cell>
          <cell r="M36">
            <v>1389.7172844155762</v>
          </cell>
          <cell r="N36">
            <v>16120.720499220686</v>
          </cell>
          <cell r="O36">
            <v>4447.0953101298446</v>
          </cell>
          <cell r="P36">
            <v>750.44733358441113</v>
          </cell>
          <cell r="Q36">
            <v>10005.96444779215</v>
          </cell>
          <cell r="R36">
            <v>0</v>
          </cell>
          <cell r="S36">
            <v>36883.096728389399</v>
          </cell>
          <cell r="T36">
            <v>86912.918967350153</v>
          </cell>
          <cell r="U36">
            <v>7242.7432472791797</v>
          </cell>
          <cell r="V36">
            <v>50.384300850637771</v>
          </cell>
        </row>
        <row r="37">
          <cell r="C37" t="str">
            <v>TEC.OPERAC. II</v>
          </cell>
          <cell r="E37">
            <v>4041.8477845528464</v>
          </cell>
          <cell r="F37">
            <v>4130.7084688229324</v>
          </cell>
          <cell r="G37">
            <v>49568.501625875186</v>
          </cell>
          <cell r="I37">
            <v>498</v>
          </cell>
          <cell r="L37">
            <v>4172.2084688229315</v>
          </cell>
          <cell r="M37">
            <v>1390.7361562743106</v>
          </cell>
          <cell r="N37">
            <v>16132.539412782002</v>
          </cell>
          <cell r="O37">
            <v>4450.3557000777937</v>
          </cell>
          <cell r="P37">
            <v>743.52752438812774</v>
          </cell>
          <cell r="Q37">
            <v>9913.7003251750375</v>
          </cell>
          <cell r="R37">
            <v>0</v>
          </cell>
          <cell r="S37">
            <v>37301.0675875202</v>
          </cell>
          <cell r="T37">
            <v>86869.569213395385</v>
          </cell>
          <cell r="U37">
            <v>7239.1307677829491</v>
          </cell>
          <cell r="V37">
            <v>50.359170558490078</v>
          </cell>
        </row>
        <row r="38">
          <cell r="C38" t="str">
            <v>CONS.DE ADMINIS.</v>
          </cell>
          <cell r="E38">
            <v>3945.6339393939397</v>
          </cell>
          <cell r="F38">
            <v>4032.3793465499907</v>
          </cell>
          <cell r="G38">
            <v>48388.552158599887</v>
          </cell>
          <cell r="L38">
            <v>4032.3793465499903</v>
          </cell>
          <cell r="M38">
            <v>1344.1264488499967</v>
          </cell>
          <cell r="N38">
            <v>15591.866806659962</v>
          </cell>
          <cell r="O38">
            <v>4301.2046363199897</v>
          </cell>
          <cell r="P38">
            <v>725.82828237899832</v>
          </cell>
          <cell r="Q38">
            <v>9677.7104317199774</v>
          </cell>
          <cell r="R38">
            <v>0</v>
          </cell>
          <cell r="S38">
            <v>35673.115952478918</v>
          </cell>
          <cell r="T38">
            <v>84061.668111078805</v>
          </cell>
          <cell r="U38">
            <v>7005.1390092565671</v>
          </cell>
          <cell r="V38">
            <v>48.731401803523944</v>
          </cell>
        </row>
        <row r="39">
          <cell r="C39" t="str">
            <v>AG.OPERAC. A-V</v>
          </cell>
          <cell r="E39">
            <v>3888.8558399999997</v>
          </cell>
          <cell r="F39">
            <v>3974.352971359277</v>
          </cell>
          <cell r="G39">
            <v>47692.235656311328</v>
          </cell>
          <cell r="L39">
            <v>3974.352971359277</v>
          </cell>
          <cell r="M39">
            <v>1324.7843237864256</v>
          </cell>
          <cell r="N39">
            <v>15367.49815592254</v>
          </cell>
          <cell r="O39">
            <v>4239.309836116563</v>
          </cell>
          <cell r="P39">
            <v>715.38353484466984</v>
          </cell>
          <cell r="Q39">
            <v>9538.4471312622663</v>
          </cell>
          <cell r="R39">
            <v>0</v>
          </cell>
          <cell r="S39">
            <v>35159.775953291741</v>
          </cell>
          <cell r="T39">
            <v>82852.011609603069</v>
          </cell>
          <cell r="U39">
            <v>6904.3343008002557</v>
          </cell>
          <cell r="V39">
            <v>48.030151657740909</v>
          </cell>
        </row>
        <row r="40">
          <cell r="C40" t="str">
            <v>AG.SUPORTE B-II</v>
          </cell>
          <cell r="E40">
            <v>3784.5720274914079</v>
          </cell>
          <cell r="F40">
            <v>3867.7764621852584</v>
          </cell>
          <cell r="G40">
            <v>46413.317546223101</v>
          </cell>
          <cell r="L40">
            <v>3867.7764621852584</v>
          </cell>
          <cell r="M40">
            <v>1289.2588207284193</v>
          </cell>
          <cell r="N40">
            <v>14955.402320449664</v>
          </cell>
          <cell r="O40">
            <v>4125.6282263309422</v>
          </cell>
          <cell r="P40">
            <v>696.19976319334648</v>
          </cell>
          <cell r="Q40">
            <v>9282.6635092446213</v>
          </cell>
          <cell r="R40">
            <v>0</v>
          </cell>
          <cell r="S40">
            <v>34216.929102132257</v>
          </cell>
          <cell r="T40">
            <v>80630.246648355358</v>
          </cell>
          <cell r="U40">
            <v>6719.1872206962798</v>
          </cell>
          <cell r="V40">
            <v>46.742171970061079</v>
          </cell>
        </row>
        <row r="41">
          <cell r="C41" t="str">
            <v>AN.SUPORTE B-I</v>
          </cell>
          <cell r="E41">
            <v>3693.3237499999996</v>
          </cell>
          <cell r="F41">
            <v>3774.5220763967141</v>
          </cell>
          <cell r="G41">
            <v>45294.26491676057</v>
          </cell>
          <cell r="L41">
            <v>3774.5220763967141</v>
          </cell>
          <cell r="M41">
            <v>1258.1740254655713</v>
          </cell>
          <cell r="N41">
            <v>14594.818695400629</v>
          </cell>
          <cell r="O41">
            <v>4026.1568814898287</v>
          </cell>
          <cell r="P41">
            <v>679.41397375140855</v>
          </cell>
          <cell r="Q41">
            <v>9058.8529833521152</v>
          </cell>
          <cell r="R41">
            <v>0</v>
          </cell>
          <cell r="S41">
            <v>33391.938635856262</v>
          </cell>
          <cell r="T41">
            <v>78686.203552616833</v>
          </cell>
          <cell r="U41">
            <v>6557.1836293847364</v>
          </cell>
          <cell r="V41">
            <v>45.615190465285117</v>
          </cell>
        </row>
        <row r="42">
          <cell r="C42" t="str">
            <v>AG.OPERAC. A-IV</v>
          </cell>
          <cell r="E42">
            <v>3334.8827245862867</v>
          </cell>
          <cell r="F42">
            <v>3408.2006664444089</v>
          </cell>
          <cell r="G42">
            <v>40898.407997332906</v>
          </cell>
          <cell r="L42">
            <v>3408.2006664444089</v>
          </cell>
          <cell r="M42">
            <v>1136.066888814803</v>
          </cell>
          <cell r="N42">
            <v>13178.375910251714</v>
          </cell>
          <cell r="O42">
            <v>3635.4140442073694</v>
          </cell>
          <cell r="P42">
            <v>613.47611995999353</v>
          </cell>
          <cell r="Q42">
            <v>8179.6815994665812</v>
          </cell>
          <cell r="R42">
            <v>0</v>
          </cell>
          <cell r="S42">
            <v>30151.215229144869</v>
          </cell>
          <cell r="T42">
            <v>71049.623226477779</v>
          </cell>
          <cell r="U42">
            <v>5920.8019355398146</v>
          </cell>
          <cell r="V42">
            <v>41.188187377668278</v>
          </cell>
        </row>
        <row r="43">
          <cell r="C43" t="str">
            <v>AG.OPERAC. B-II</v>
          </cell>
          <cell r="D43" t="str">
            <v>O1e2</v>
          </cell>
          <cell r="E43">
            <v>3239.4658830845806</v>
          </cell>
          <cell r="F43">
            <v>3310.686070084359</v>
          </cell>
          <cell r="G43">
            <v>39728.232841012308</v>
          </cell>
          <cell r="H43">
            <v>0</v>
          </cell>
          <cell r="I43">
            <v>1992</v>
          </cell>
          <cell r="L43">
            <v>3476.686070084359</v>
          </cell>
          <cell r="M43">
            <v>1158.8953566947862</v>
          </cell>
          <cell r="N43">
            <v>13443.186137659523</v>
          </cell>
          <cell r="O43">
            <v>3708.4651414233167</v>
          </cell>
          <cell r="P43">
            <v>595.92349261518461</v>
          </cell>
          <cell r="Q43">
            <v>7945.6465682024618</v>
          </cell>
          <cell r="R43">
            <v>0</v>
          </cell>
          <cell r="S43">
            <v>32320.80276667963</v>
          </cell>
          <cell r="T43">
            <v>72049.035607691942</v>
          </cell>
          <cell r="U43">
            <v>6004.0863006409954</v>
          </cell>
          <cell r="V43">
            <v>41.767556874024315</v>
          </cell>
        </row>
        <row r="44">
          <cell r="C44" t="str">
            <v>EMPR EM COMISSAO</v>
          </cell>
          <cell r="E44">
            <v>2993.9708333333333</v>
          </cell>
          <cell r="F44">
            <v>3059.7937715329003</v>
          </cell>
          <cell r="G44">
            <v>36717.525258394802</v>
          </cell>
          <cell r="L44">
            <v>3059.7937715328999</v>
          </cell>
          <cell r="M44">
            <v>1019.9312571776334</v>
          </cell>
          <cell r="N44">
            <v>11831.202583260547</v>
          </cell>
          <cell r="O44">
            <v>3263.7800229684271</v>
          </cell>
          <cell r="P44">
            <v>550.76287887592207</v>
          </cell>
          <cell r="Q44">
            <v>7343.5050516789606</v>
          </cell>
          <cell r="R44">
            <v>0</v>
          </cell>
          <cell r="S44">
            <v>27068.975565494387</v>
          </cell>
          <cell r="T44">
            <v>63786.50082388919</v>
          </cell>
          <cell r="U44">
            <v>5315.5417353240991</v>
          </cell>
          <cell r="V44">
            <v>36.977681637037215</v>
          </cell>
        </row>
        <row r="45">
          <cell r="C45" t="str">
            <v>VIGIA</v>
          </cell>
          <cell r="E45">
            <v>2877.467916666667</v>
          </cell>
          <cell r="F45">
            <v>2940.7295191984172</v>
          </cell>
          <cell r="G45">
            <v>35288.754230381004</v>
          </cell>
          <cell r="L45">
            <v>2940.7295191984167</v>
          </cell>
          <cell r="M45">
            <v>980.24317306613898</v>
          </cell>
          <cell r="N45">
            <v>11370.820807567212</v>
          </cell>
          <cell r="O45">
            <v>3136.7781538116451</v>
          </cell>
          <cell r="P45">
            <v>529.33131345571508</v>
          </cell>
          <cell r="Q45">
            <v>7057.750846076201</v>
          </cell>
          <cell r="R45">
            <v>0</v>
          </cell>
          <cell r="S45">
            <v>26015.653813175326</v>
          </cell>
          <cell r="T45">
            <v>61304.40804355633</v>
          </cell>
          <cell r="U45">
            <v>5108.7006702963608</v>
          </cell>
          <cell r="V45">
            <v>35.538787271626859</v>
          </cell>
        </row>
        <row r="46">
          <cell r="C46" t="str">
            <v>TEC.OPERAC. I</v>
          </cell>
          <cell r="D46" t="str">
            <v>O3</v>
          </cell>
          <cell r="E46">
            <v>2851.9438677536236</v>
          </cell>
          <cell r="F46">
            <v>2914.6443198975676</v>
          </cell>
          <cell r="G46">
            <v>34975.731838770807</v>
          </cell>
          <cell r="H46">
            <v>0</v>
          </cell>
          <cell r="I46">
            <v>1992</v>
          </cell>
          <cell r="L46">
            <v>3080.6443198975671</v>
          </cell>
          <cell r="M46">
            <v>1026.8814399658556</v>
          </cell>
          <cell r="N46">
            <v>11911.824703603927</v>
          </cell>
          <cell r="O46">
            <v>3286.020607890739</v>
          </cell>
          <cell r="P46">
            <v>524.63597758156209</v>
          </cell>
          <cell r="Q46">
            <v>6995.1463677541615</v>
          </cell>
          <cell r="R46">
            <v>0</v>
          </cell>
          <cell r="S46">
            <v>28817.153416693811</v>
          </cell>
          <cell r="T46">
            <v>63792.885255464615</v>
          </cell>
          <cell r="U46">
            <v>5316.0737712887176</v>
          </cell>
          <cell r="V46">
            <v>36.981382756791078</v>
          </cell>
        </row>
        <row r="47">
          <cell r="C47" t="str">
            <v>AG.OPERAC. A-III</v>
          </cell>
          <cell r="D47" t="str">
            <v>O4</v>
          </cell>
          <cell r="E47">
            <v>2811.5910944206007</v>
          </cell>
          <cell r="F47">
            <v>2873.404384246292</v>
          </cell>
          <cell r="G47">
            <v>34480.852610955502</v>
          </cell>
          <cell r="H47">
            <v>0</v>
          </cell>
          <cell r="I47">
            <v>996</v>
          </cell>
          <cell r="L47">
            <v>2956.4043842462916</v>
          </cell>
          <cell r="M47">
            <v>985.46812808209722</v>
          </cell>
          <cell r="N47">
            <v>11431.430285752327</v>
          </cell>
          <cell r="O47">
            <v>3153.4980098627111</v>
          </cell>
          <cell r="P47">
            <v>517.21278916433255</v>
          </cell>
          <cell r="Q47">
            <v>6896.1705221911006</v>
          </cell>
          <cell r="R47">
            <v>0</v>
          </cell>
          <cell r="S47">
            <v>26936.184119298861</v>
          </cell>
          <cell r="T47">
            <v>61417.03673025436</v>
          </cell>
          <cell r="U47">
            <v>5118.0863941878633</v>
          </cell>
          <cell r="V47">
            <v>35.604079263915573</v>
          </cell>
        </row>
        <row r="48">
          <cell r="C48" t="str">
            <v>TEC.SEG.TRAB.I</v>
          </cell>
          <cell r="E48">
            <v>2681.06</v>
          </cell>
          <cell r="F48">
            <v>2740.0035423767481</v>
          </cell>
          <cell r="G48">
            <v>32880.042508520979</v>
          </cell>
          <cell r="L48">
            <v>2740.0035423767481</v>
          </cell>
          <cell r="M48">
            <v>913.3345141255827</v>
          </cell>
          <cell r="N48">
            <v>10594.68036385676</v>
          </cell>
          <cell r="O48">
            <v>2922.6704452018648</v>
          </cell>
          <cell r="P48">
            <v>493.20063762781467</v>
          </cell>
          <cell r="Q48">
            <v>6576.0085017041965</v>
          </cell>
          <cell r="R48">
            <v>0</v>
          </cell>
          <cell r="S48">
            <v>24239.898004892966</v>
          </cell>
          <cell r="T48">
            <v>57119.940513413945</v>
          </cell>
          <cell r="U48">
            <v>4759.9950427844951</v>
          </cell>
          <cell r="V48">
            <v>33.113008993283444</v>
          </cell>
        </row>
        <row r="49">
          <cell r="C49" t="str">
            <v>TEC.CONTAB. I</v>
          </cell>
          <cell r="E49">
            <v>2601.4783333333335</v>
          </cell>
          <cell r="F49">
            <v>2658.6722597590851</v>
          </cell>
          <cell r="G49">
            <v>31904.067117109022</v>
          </cell>
          <cell r="L49">
            <v>2658.6722597590851</v>
          </cell>
          <cell r="M49">
            <v>886.22408658636164</v>
          </cell>
          <cell r="N49">
            <v>10280.199404401796</v>
          </cell>
          <cell r="O49">
            <v>2835.9170770763576</v>
          </cell>
          <cell r="P49">
            <v>478.56100675663532</v>
          </cell>
          <cell r="Q49">
            <v>6380.8134234218051</v>
          </cell>
          <cell r="R49">
            <v>0</v>
          </cell>
          <cell r="S49">
            <v>23520.38725800204</v>
          </cell>
          <cell r="T49">
            <v>55424.454375111061</v>
          </cell>
          <cell r="U49">
            <v>4618.7045312592554</v>
          </cell>
          <cell r="V49">
            <v>32.130118478325251</v>
          </cell>
        </row>
        <row r="50">
          <cell r="C50" t="str">
            <v>AG.SUPORTE A-I</v>
          </cell>
          <cell r="E50">
            <v>2432.5096639784947</v>
          </cell>
          <cell r="F50">
            <v>2485.9887865869277</v>
          </cell>
          <cell r="G50">
            <v>29831.865439043133</v>
          </cell>
          <cell r="L50">
            <v>2485.9887865869277</v>
          </cell>
          <cell r="M50">
            <v>828.66292886230917</v>
          </cell>
          <cell r="N50">
            <v>9612.4899748027874</v>
          </cell>
          <cell r="O50">
            <v>2651.72137235939</v>
          </cell>
          <cell r="P50">
            <v>447.477981585647</v>
          </cell>
          <cell r="Q50">
            <v>5966.3730878086271</v>
          </cell>
          <cell r="R50">
            <v>0</v>
          </cell>
          <cell r="S50">
            <v>21992.714132005691</v>
          </cell>
          <cell r="T50">
            <v>51824.579571048824</v>
          </cell>
          <cell r="U50">
            <v>4318.7149642540689</v>
          </cell>
          <cell r="V50">
            <v>30.043234533941348</v>
          </cell>
        </row>
        <row r="51">
          <cell r="C51" t="str">
            <v>AG.OPERAC. A-II</v>
          </cell>
          <cell r="E51">
            <v>1996.8821264367816</v>
          </cell>
          <cell r="F51">
            <v>2040.7839064196978</v>
          </cell>
          <cell r="G51">
            <v>24489.406877036374</v>
          </cell>
          <cell r="L51">
            <v>2040.7839064196978</v>
          </cell>
          <cell r="M51">
            <v>680.26130213989927</v>
          </cell>
          <cell r="N51">
            <v>7891.0311048228314</v>
          </cell>
          <cell r="O51">
            <v>2176.8361668476778</v>
          </cell>
          <cell r="P51">
            <v>367.34110315554557</v>
          </cell>
          <cell r="Q51">
            <v>4897.8813754072753</v>
          </cell>
          <cell r="R51">
            <v>0</v>
          </cell>
          <cell r="S51">
            <v>18054.134958792929</v>
          </cell>
          <cell r="T51">
            <v>42543.541835829303</v>
          </cell>
          <cell r="U51">
            <v>3545.2951529857751</v>
          </cell>
          <cell r="V51">
            <v>24.662922803379306</v>
          </cell>
        </row>
        <row r="52">
          <cell r="C52" t="str">
            <v>AG.OPERAC. A-II E</v>
          </cell>
          <cell r="E52">
            <v>1996.8821264367816</v>
          </cell>
          <cell r="F52">
            <v>2040.7839064196978</v>
          </cell>
          <cell r="G52">
            <v>24489.406877036374</v>
          </cell>
          <cell r="L52">
            <v>2040.7839064196978</v>
          </cell>
          <cell r="M52">
            <v>680.26130213989927</v>
          </cell>
          <cell r="N52">
            <v>7891.0311048228314</v>
          </cell>
          <cell r="O52">
            <v>2176.8361668476778</v>
          </cell>
          <cell r="P52">
            <v>367.34110315554557</v>
          </cell>
          <cell r="Q52">
            <v>4897.8813754072753</v>
          </cell>
          <cell r="R52">
            <v>0</v>
          </cell>
          <cell r="S52">
            <v>18054.134958792929</v>
          </cell>
          <cell r="T52">
            <v>42543.541835829303</v>
          </cell>
          <cell r="U52">
            <v>3545.2951529857751</v>
          </cell>
          <cell r="V52">
            <v>24.662922803379306</v>
          </cell>
        </row>
        <row r="53">
          <cell r="C53" t="str">
            <v>AG.OPERAC. A-II A</v>
          </cell>
          <cell r="E53">
            <v>1996.8821264367816</v>
          </cell>
          <cell r="F53">
            <v>2040.7839064196978</v>
          </cell>
          <cell r="G53">
            <v>24489.406877036374</v>
          </cell>
          <cell r="L53">
            <v>2040.7839064196978</v>
          </cell>
          <cell r="M53">
            <v>680.26130213989927</v>
          </cell>
          <cell r="N53">
            <v>7891.0311048228314</v>
          </cell>
          <cell r="O53">
            <v>2176.8361668476778</v>
          </cell>
          <cell r="P53">
            <v>367.34110315554557</v>
          </cell>
          <cell r="Q53">
            <v>4897.8813754072753</v>
          </cell>
          <cell r="R53">
            <v>0</v>
          </cell>
          <cell r="S53">
            <v>18054.134958792929</v>
          </cell>
          <cell r="T53">
            <v>42543.541835829303</v>
          </cell>
          <cell r="U53">
            <v>3545.2951529857751</v>
          </cell>
          <cell r="V53">
            <v>24.662922803379306</v>
          </cell>
        </row>
        <row r="54">
          <cell r="C54" t="str">
            <v>AG.OPERAC. B-I</v>
          </cell>
          <cell r="E54">
            <v>1911.4824629629629</v>
          </cell>
          <cell r="F54">
            <v>1953.5067173840009</v>
          </cell>
          <cell r="G54">
            <v>23442.080608608012</v>
          </cell>
          <cell r="L54">
            <v>1953.5067173840009</v>
          </cell>
          <cell r="M54">
            <v>651.16890579466701</v>
          </cell>
          <cell r="N54">
            <v>7553.5593072181364</v>
          </cell>
          <cell r="O54">
            <v>2083.7404985429343</v>
          </cell>
          <cell r="P54">
            <v>351.63120912912018</v>
          </cell>
          <cell r="Q54">
            <v>4688.4161217216024</v>
          </cell>
          <cell r="R54">
            <v>0</v>
          </cell>
          <cell r="S54">
            <v>17282.02275979046</v>
          </cell>
          <cell r="T54">
            <v>40724.103368398472</v>
          </cell>
          <cell r="U54">
            <v>3393.6752806998725</v>
          </cell>
          <cell r="V54">
            <v>23.608175865738243</v>
          </cell>
        </row>
        <row r="55">
          <cell r="C55" t="str">
            <v>AG.SUPORTE B-I</v>
          </cell>
          <cell r="E55">
            <v>1590.1994937694701</v>
          </cell>
          <cell r="F55">
            <v>1625.1602895921985</v>
          </cell>
          <cell r="G55">
            <v>19501.923475106381</v>
          </cell>
          <cell r="L55">
            <v>1625.1602895921983</v>
          </cell>
          <cell r="M55">
            <v>541.7200965307328</v>
          </cell>
          <cell r="N55">
            <v>6283.9531197564993</v>
          </cell>
          <cell r="O55">
            <v>1733.5043088983448</v>
          </cell>
          <cell r="P55">
            <v>292.52885212659572</v>
          </cell>
          <cell r="Q55">
            <v>3900.3846950212765</v>
          </cell>
          <cell r="R55">
            <v>0</v>
          </cell>
          <cell r="S55">
            <v>14377.25136192565</v>
          </cell>
          <cell r="T55">
            <v>33879.174837032027</v>
          </cell>
          <cell r="U55">
            <v>2823.2645697526691</v>
          </cell>
          <cell r="V55">
            <v>19.640101354801175</v>
          </cell>
        </row>
        <row r="56">
          <cell r="C56" t="str">
            <v>AG.OPERAC. A-I</v>
          </cell>
          <cell r="D56" t="str">
            <v>O5</v>
          </cell>
          <cell r="E56">
            <v>1409.3978961748628</v>
          </cell>
          <cell r="F56">
            <v>1440.3837393185756</v>
          </cell>
          <cell r="G56">
            <v>17284.604871822907</v>
          </cell>
          <cell r="H56">
            <v>0</v>
          </cell>
          <cell r="I56">
            <v>1992</v>
          </cell>
          <cell r="L56">
            <v>1606.3837393185754</v>
          </cell>
          <cell r="M56">
            <v>535.46124643952521</v>
          </cell>
          <cell r="N56">
            <v>6211.3504586984918</v>
          </cell>
          <cell r="O56">
            <v>1713.4759886064805</v>
          </cell>
          <cell r="P56">
            <v>259.26907307734359</v>
          </cell>
          <cell r="Q56">
            <v>3456.9209743645815</v>
          </cell>
          <cell r="R56">
            <v>0</v>
          </cell>
          <cell r="S56">
            <v>15774.861480504998</v>
          </cell>
          <cell r="T56">
            <v>33059.466352327901</v>
          </cell>
          <cell r="U56">
            <v>2754.9555293606586</v>
          </cell>
          <cell r="V56">
            <v>19.164908030335017</v>
          </cell>
        </row>
        <row r="57">
          <cell r="F57">
            <v>0</v>
          </cell>
          <cell r="G57">
            <v>0</v>
          </cell>
          <cell r="L57">
            <v>0</v>
          </cell>
          <cell r="M57">
            <v>0</v>
          </cell>
          <cell r="N57">
            <v>0</v>
          </cell>
          <cell r="O57">
            <v>0</v>
          </cell>
          <cell r="P57">
            <v>0</v>
          </cell>
          <cell r="Q57">
            <v>0</v>
          </cell>
          <cell r="R57">
            <v>0</v>
          </cell>
          <cell r="S57">
            <v>0</v>
          </cell>
          <cell r="T57">
            <v>0</v>
          </cell>
          <cell r="U57">
            <v>0</v>
          </cell>
          <cell r="V57">
            <v>0</v>
          </cell>
        </row>
        <row r="58">
          <cell r="F58">
            <v>0</v>
          </cell>
          <cell r="G58">
            <v>0</v>
          </cell>
          <cell r="L58">
            <v>0</v>
          </cell>
          <cell r="M58">
            <v>0</v>
          </cell>
          <cell r="N58">
            <v>0</v>
          </cell>
          <cell r="O58">
            <v>0</v>
          </cell>
          <cell r="P58">
            <v>0</v>
          </cell>
          <cell r="Q58">
            <v>0</v>
          </cell>
          <cell r="R58">
            <v>0</v>
          </cell>
          <cell r="S58">
            <v>0</v>
          </cell>
          <cell r="T58">
            <v>0</v>
          </cell>
          <cell r="U58">
            <v>0</v>
          </cell>
          <cell r="V58">
            <v>0</v>
          </cell>
        </row>
        <row r="59">
          <cell r="F59">
            <v>0</v>
          </cell>
          <cell r="G59">
            <v>0</v>
          </cell>
          <cell r="L59">
            <v>0</v>
          </cell>
          <cell r="M59">
            <v>0</v>
          </cell>
          <cell r="N59">
            <v>0</v>
          </cell>
          <cell r="O59">
            <v>0</v>
          </cell>
          <cell r="P59">
            <v>0</v>
          </cell>
          <cell r="Q59">
            <v>0</v>
          </cell>
          <cell r="R59">
            <v>0</v>
          </cell>
          <cell r="S59">
            <v>0</v>
          </cell>
          <cell r="T59">
            <v>0</v>
          </cell>
          <cell r="U59">
            <v>0</v>
          </cell>
          <cell r="V59">
            <v>0</v>
          </cell>
        </row>
        <row r="60">
          <cell r="F60">
            <v>0</v>
          </cell>
          <cell r="G60">
            <v>0</v>
          </cell>
          <cell r="L60">
            <v>0</v>
          </cell>
          <cell r="M60">
            <v>0</v>
          </cell>
          <cell r="N60">
            <v>0</v>
          </cell>
          <cell r="O60">
            <v>0</v>
          </cell>
          <cell r="P60">
            <v>0</v>
          </cell>
          <cell r="Q60">
            <v>0</v>
          </cell>
          <cell r="R60">
            <v>0</v>
          </cell>
          <cell r="S60">
            <v>0</v>
          </cell>
          <cell r="T60">
            <v>0</v>
          </cell>
          <cell r="U60">
            <v>0</v>
          </cell>
          <cell r="V60">
            <v>0</v>
          </cell>
        </row>
      </sheetData>
      <sheetData sheetId="3">
        <row r="11">
          <cell r="B11" t="str">
            <v>EQ1</v>
          </cell>
          <cell r="C11" t="str">
            <v>Quantidade</v>
          </cell>
          <cell r="F11">
            <v>1</v>
          </cell>
          <cell r="K11">
            <v>36.981382756791078</v>
          </cell>
          <cell r="L11">
            <v>0.08</v>
          </cell>
          <cell r="M11">
            <v>2.9585106205432861</v>
          </cell>
          <cell r="N11">
            <v>39.939893377334364</v>
          </cell>
          <cell r="P11">
            <v>1</v>
          </cell>
          <cell r="AD11">
            <v>4.5877525252525251</v>
          </cell>
          <cell r="AT11">
            <v>0</v>
          </cell>
          <cell r="AV11">
            <v>44.52764590258689</v>
          </cell>
        </row>
        <row r="12">
          <cell r="C12" t="str">
            <v>Custo Total (R$/Hora)</v>
          </cell>
          <cell r="D12"/>
          <cell r="E12"/>
          <cell r="F12">
            <v>36.981382756791078</v>
          </cell>
          <cell r="G12"/>
          <cell r="H12"/>
          <cell r="I12"/>
          <cell r="J12"/>
          <cell r="O12"/>
          <cell r="P12">
            <v>4.5877525252525251</v>
          </cell>
          <cell r="Q12"/>
          <cell r="R12"/>
          <cell r="S12"/>
          <cell r="T12"/>
          <cell r="U12"/>
          <cell r="V12"/>
          <cell r="W12"/>
          <cell r="X12"/>
          <cell r="Y12"/>
          <cell r="AB12"/>
          <cell r="AC12"/>
          <cell r="AE12"/>
          <cell r="AF12"/>
          <cell r="AG12"/>
          <cell r="AH12"/>
          <cell r="AI12"/>
          <cell r="AJ12"/>
          <cell r="AK12"/>
          <cell r="AL12"/>
          <cell r="AM12"/>
          <cell r="AN12"/>
          <cell r="AO12"/>
          <cell r="AP12"/>
          <cell r="AQ12"/>
          <cell r="AR12"/>
          <cell r="AS12"/>
        </row>
        <row r="13">
          <cell r="B13" t="str">
            <v>EQ2</v>
          </cell>
          <cell r="C13" t="str">
            <v>Quantidade</v>
          </cell>
          <cell r="G13">
            <v>1</v>
          </cell>
          <cell r="K13">
            <v>35.604079263915573</v>
          </cell>
          <cell r="L13">
            <v>0.08</v>
          </cell>
          <cell r="M13">
            <v>2.8483263411132458</v>
          </cell>
          <cell r="N13">
            <v>38.452405605028815</v>
          </cell>
          <cell r="P13">
            <v>1</v>
          </cell>
          <cell r="AD13">
            <v>4.5877525252525251</v>
          </cell>
          <cell r="AT13">
            <v>0</v>
          </cell>
          <cell r="AV13">
            <v>43.040158130281341</v>
          </cell>
        </row>
        <row r="14">
          <cell r="C14" t="str">
            <v>Custo Total (R$/Hora)</v>
          </cell>
          <cell r="D14"/>
          <cell r="E14"/>
          <cell r="F14"/>
          <cell r="G14">
            <v>35.604079263915573</v>
          </cell>
          <cell r="H14"/>
          <cell r="I14"/>
          <cell r="J14"/>
          <cell r="O14"/>
          <cell r="P14">
            <v>4.5877525252525251</v>
          </cell>
          <cell r="Q14"/>
          <cell r="R14"/>
          <cell r="S14"/>
          <cell r="T14"/>
          <cell r="U14"/>
          <cell r="V14"/>
          <cell r="W14"/>
          <cell r="X14"/>
          <cell r="Y14"/>
          <cell r="AB14"/>
          <cell r="AC14"/>
          <cell r="AE14"/>
          <cell r="AF14"/>
          <cell r="AG14"/>
          <cell r="AH14"/>
          <cell r="AI14"/>
          <cell r="AJ14"/>
          <cell r="AK14"/>
          <cell r="AL14"/>
          <cell r="AM14"/>
          <cell r="AN14"/>
          <cell r="AO14"/>
          <cell r="AP14"/>
          <cell r="AQ14"/>
          <cell r="AR14"/>
          <cell r="AS14"/>
        </row>
        <row r="15">
          <cell r="B15" t="str">
            <v>EQ2_T</v>
          </cell>
          <cell r="C15" t="str">
            <v>Quantidade</v>
          </cell>
          <cell r="G15">
            <v>1</v>
          </cell>
          <cell r="K15">
            <v>44.505099079894464</v>
          </cell>
          <cell r="L15">
            <v>0.08</v>
          </cell>
          <cell r="M15">
            <v>3.5604079263915573</v>
          </cell>
          <cell r="N15">
            <v>48.065507006286019</v>
          </cell>
          <cell r="P15">
            <v>1</v>
          </cell>
          <cell r="AD15">
            <v>4.5877525252525251</v>
          </cell>
          <cell r="AT15">
            <v>0</v>
          </cell>
          <cell r="AV15">
            <v>52.653259531538545</v>
          </cell>
        </row>
        <row r="16">
          <cell r="C16" t="str">
            <v>Custo Total (R$/Hora)</v>
          </cell>
          <cell r="D16"/>
          <cell r="E16"/>
          <cell r="F16"/>
          <cell r="G16">
            <v>44.505099079894464</v>
          </cell>
          <cell r="H16"/>
          <cell r="I16"/>
          <cell r="J16"/>
          <cell r="O16"/>
          <cell r="P16">
            <v>4.5877525252525251</v>
          </cell>
          <cell r="Q16"/>
          <cell r="R16"/>
          <cell r="S16"/>
          <cell r="T16"/>
          <cell r="U16"/>
          <cell r="V16"/>
          <cell r="W16"/>
          <cell r="X16"/>
          <cell r="Y16"/>
          <cell r="Z16"/>
          <cell r="AA16"/>
          <cell r="AB16"/>
          <cell r="AC16"/>
          <cell r="AE16"/>
          <cell r="AF16"/>
          <cell r="AG16"/>
          <cell r="AH16"/>
          <cell r="AI16"/>
          <cell r="AJ16"/>
          <cell r="AK16"/>
          <cell r="AL16"/>
          <cell r="AM16"/>
          <cell r="AN16"/>
          <cell r="AO16"/>
          <cell r="AP16"/>
          <cell r="AQ16"/>
          <cell r="AR16"/>
          <cell r="AS16"/>
        </row>
        <row r="17">
          <cell r="B17" t="str">
            <v>EQ3</v>
          </cell>
          <cell r="C17" t="str">
            <v>Quantidade</v>
          </cell>
          <cell r="F17">
            <v>2</v>
          </cell>
          <cell r="H17">
            <v>1</v>
          </cell>
          <cell r="K17">
            <v>93.127673543917169</v>
          </cell>
          <cell r="L17">
            <v>0.08</v>
          </cell>
          <cell r="M17">
            <v>7.4502138835133733</v>
          </cell>
          <cell r="N17">
            <v>100.57788742743054</v>
          </cell>
          <cell r="Q17">
            <v>1</v>
          </cell>
          <cell r="AD17">
            <v>5.955303030303031</v>
          </cell>
          <cell r="AT17">
            <v>0</v>
          </cell>
          <cell r="AV17">
            <v>106.53319045773357</v>
          </cell>
        </row>
        <row r="18">
          <cell r="C18" t="str">
            <v>Custo Total (R$/Hora)</v>
          </cell>
          <cell r="D18"/>
          <cell r="E18"/>
          <cell r="F18">
            <v>73.962765513582156</v>
          </cell>
          <cell r="G18"/>
          <cell r="H18">
            <v>19.164908030335017</v>
          </cell>
          <cell r="I18"/>
          <cell r="J18"/>
          <cell r="O18"/>
          <cell r="P18"/>
          <cell r="Q18">
            <v>5.955303030303031</v>
          </cell>
          <cell r="R18"/>
          <cell r="S18"/>
          <cell r="T18"/>
          <cell r="U18"/>
          <cell r="V18"/>
          <cell r="W18"/>
          <cell r="X18"/>
          <cell r="Y18"/>
          <cell r="AB18"/>
          <cell r="AC18"/>
          <cell r="AE18"/>
          <cell r="AF18"/>
          <cell r="AG18"/>
          <cell r="AH18"/>
          <cell r="AI18"/>
          <cell r="AJ18"/>
          <cell r="AK18"/>
          <cell r="AL18"/>
          <cell r="AM18"/>
          <cell r="AN18"/>
          <cell r="AO18"/>
          <cell r="AP18"/>
          <cell r="AQ18"/>
          <cell r="AR18"/>
          <cell r="AS18"/>
        </row>
        <row r="19">
          <cell r="B19" t="str">
            <v>EQ3_T</v>
          </cell>
          <cell r="C19" t="str">
            <v>Quantidade</v>
          </cell>
          <cell r="F19">
            <v>2</v>
          </cell>
          <cell r="H19">
            <v>1</v>
          </cell>
          <cell r="K19">
            <v>116.40959192989648</v>
          </cell>
          <cell r="L19">
            <v>0.08</v>
          </cell>
          <cell r="M19">
            <v>9.3127673543917187</v>
          </cell>
          <cell r="N19">
            <v>125.7223592842882</v>
          </cell>
          <cell r="Q19">
            <v>1</v>
          </cell>
          <cell r="AD19">
            <v>5.955303030303031</v>
          </cell>
          <cell r="AT19">
            <v>0</v>
          </cell>
          <cell r="AV19">
            <v>131.67766231459123</v>
          </cell>
        </row>
        <row r="20">
          <cell r="C20" t="str">
            <v>Custo Total (R$/Hora)</v>
          </cell>
          <cell r="D20"/>
          <cell r="E20"/>
          <cell r="F20">
            <v>92.453456891977709</v>
          </cell>
          <cell r="G20"/>
          <cell r="H20">
            <v>23.95613503791877</v>
          </cell>
          <cell r="I20"/>
          <cell r="J20"/>
          <cell r="O20"/>
          <cell r="P20"/>
          <cell r="Q20">
            <v>5.955303030303031</v>
          </cell>
          <cell r="R20"/>
          <cell r="S20"/>
          <cell r="T20"/>
          <cell r="U20"/>
          <cell r="V20"/>
          <cell r="W20"/>
          <cell r="X20"/>
          <cell r="Y20"/>
          <cell r="Z20"/>
          <cell r="AA20"/>
          <cell r="AB20"/>
          <cell r="AC20"/>
          <cell r="AE20"/>
          <cell r="AF20"/>
          <cell r="AG20"/>
          <cell r="AH20"/>
          <cell r="AI20"/>
          <cell r="AJ20"/>
          <cell r="AK20"/>
          <cell r="AL20"/>
          <cell r="AM20"/>
          <cell r="AN20"/>
          <cell r="AO20"/>
          <cell r="AP20"/>
          <cell r="AQ20"/>
          <cell r="AR20"/>
          <cell r="AS20"/>
        </row>
        <row r="21">
          <cell r="B21" t="str">
            <v>EQ4</v>
          </cell>
          <cell r="C21" t="str">
            <v>Quantidade</v>
          </cell>
          <cell r="G21">
            <v>2</v>
          </cell>
          <cell r="H21">
            <v>1</v>
          </cell>
          <cell r="K21">
            <v>90.373066558166158</v>
          </cell>
          <cell r="L21">
            <v>0.08</v>
          </cell>
          <cell r="M21">
            <v>7.2298453246532928</v>
          </cell>
          <cell r="N21">
            <v>97.602911882819456</v>
          </cell>
          <cell r="Q21">
            <v>1</v>
          </cell>
          <cell r="AD21">
            <v>5.955303030303031</v>
          </cell>
          <cell r="AT21">
            <v>0</v>
          </cell>
          <cell r="AV21">
            <v>103.55821491312248</v>
          </cell>
        </row>
        <row r="22">
          <cell r="C22" t="str">
            <v>Custo Total (R$/Hora)</v>
          </cell>
          <cell r="D22"/>
          <cell r="E22"/>
          <cell r="F22"/>
          <cell r="G22">
            <v>71.208158527831145</v>
          </cell>
          <cell r="H22">
            <v>19.164908030335017</v>
          </cell>
          <cell r="I22"/>
          <cell r="J22"/>
          <cell r="O22"/>
          <cell r="P22"/>
          <cell r="Q22">
            <v>5.955303030303031</v>
          </cell>
          <cell r="R22"/>
          <cell r="S22"/>
          <cell r="T22"/>
          <cell r="U22"/>
          <cell r="V22"/>
          <cell r="W22"/>
          <cell r="X22"/>
          <cell r="Y22"/>
          <cell r="AB22"/>
          <cell r="AC22"/>
          <cell r="AE22"/>
          <cell r="AF22"/>
          <cell r="AG22"/>
          <cell r="AH22"/>
          <cell r="AI22"/>
          <cell r="AJ22"/>
          <cell r="AK22"/>
          <cell r="AL22"/>
          <cell r="AM22"/>
          <cell r="AN22"/>
          <cell r="AO22"/>
          <cell r="AP22"/>
          <cell r="AQ22"/>
          <cell r="AR22"/>
          <cell r="AS22"/>
        </row>
        <row r="23">
          <cell r="B23" t="str">
            <v>EQ4_T</v>
          </cell>
          <cell r="C23" t="str">
            <v>Quantidade</v>
          </cell>
          <cell r="G23">
            <v>2</v>
          </cell>
          <cell r="H23">
            <v>1</v>
          </cell>
          <cell r="K23">
            <v>112.9663331977077</v>
          </cell>
          <cell r="L23">
            <v>0.08</v>
          </cell>
          <cell r="M23">
            <v>9.0373066558166162</v>
          </cell>
          <cell r="N23">
            <v>122.00363985352432</v>
          </cell>
          <cell r="Q23">
            <v>1</v>
          </cell>
          <cell r="AD23">
            <v>5.955303030303031</v>
          </cell>
          <cell r="AT23">
            <v>0</v>
          </cell>
          <cell r="AV23">
            <v>127.95894288382735</v>
          </cell>
        </row>
        <row r="24">
          <cell r="C24" t="str">
            <v>Custo Total (R$/Hora)</v>
          </cell>
          <cell r="D24"/>
          <cell r="E24"/>
          <cell r="F24"/>
          <cell r="G24">
            <v>89.010198159788928</v>
          </cell>
          <cell r="H24">
            <v>23.95613503791877</v>
          </cell>
          <cell r="I24"/>
          <cell r="J24"/>
          <cell r="O24"/>
          <cell r="P24"/>
          <cell r="Q24">
            <v>5.955303030303031</v>
          </cell>
          <cell r="R24"/>
          <cell r="S24"/>
          <cell r="T24"/>
          <cell r="U24"/>
          <cell r="V24"/>
          <cell r="W24"/>
          <cell r="X24"/>
          <cell r="Y24"/>
          <cell r="Z24"/>
          <cell r="AA24"/>
          <cell r="AB24"/>
          <cell r="AC24"/>
          <cell r="AE24"/>
          <cell r="AF24"/>
          <cell r="AG24"/>
          <cell r="AH24"/>
          <cell r="AI24"/>
          <cell r="AJ24"/>
          <cell r="AK24"/>
          <cell r="AL24"/>
          <cell r="AM24"/>
          <cell r="AN24"/>
          <cell r="AO24"/>
          <cell r="AP24"/>
          <cell r="AQ24"/>
          <cell r="AR24"/>
          <cell r="AS24"/>
        </row>
        <row r="25">
          <cell r="B25" t="str">
            <v>EQ5</v>
          </cell>
          <cell r="C25" t="str">
            <v>Quantidade</v>
          </cell>
          <cell r="F25">
            <v>3</v>
          </cell>
          <cell r="H25">
            <v>1</v>
          </cell>
          <cell r="K25">
            <v>130.10905630070826</v>
          </cell>
          <cell r="L25">
            <v>0.08</v>
          </cell>
          <cell r="M25">
            <v>10.408724504056661</v>
          </cell>
          <cell r="N25">
            <v>140.51778080476493</v>
          </cell>
          <cell r="R25">
            <v>1</v>
          </cell>
          <cell r="AD25">
            <v>6.7662878787878791</v>
          </cell>
          <cell r="AT25">
            <v>0</v>
          </cell>
          <cell r="AV25">
            <v>147.28406868355282</v>
          </cell>
        </row>
        <row r="26">
          <cell r="C26" t="str">
            <v>Custo Total (R$/Hora)</v>
          </cell>
          <cell r="D26"/>
          <cell r="E26"/>
          <cell r="F26">
            <v>110.94414827037323</v>
          </cell>
          <cell r="G26"/>
          <cell r="H26">
            <v>19.164908030335017</v>
          </cell>
          <cell r="I26"/>
          <cell r="J26"/>
          <cell r="O26"/>
          <cell r="P26"/>
          <cell r="Q26"/>
          <cell r="R26">
            <v>6.7662878787878791</v>
          </cell>
          <cell r="S26"/>
          <cell r="T26"/>
          <cell r="U26"/>
          <cell r="V26"/>
          <cell r="W26"/>
          <cell r="X26"/>
          <cell r="Y26"/>
          <cell r="AB26"/>
          <cell r="AC26"/>
          <cell r="AE26"/>
          <cell r="AF26"/>
          <cell r="AG26"/>
          <cell r="AH26"/>
          <cell r="AI26"/>
          <cell r="AJ26"/>
          <cell r="AK26"/>
          <cell r="AL26"/>
          <cell r="AM26"/>
          <cell r="AN26"/>
          <cell r="AO26"/>
          <cell r="AP26"/>
          <cell r="AQ26"/>
          <cell r="AR26"/>
          <cell r="AS26"/>
        </row>
        <row r="27">
          <cell r="B27" t="str">
            <v>EQ6</v>
          </cell>
          <cell r="C27" t="str">
            <v>Quantidade</v>
          </cell>
          <cell r="G27">
            <v>3</v>
          </cell>
          <cell r="H27">
            <v>1</v>
          </cell>
          <cell r="K27">
            <v>125.97714582208174</v>
          </cell>
          <cell r="L27">
            <v>0.08</v>
          </cell>
          <cell r="M27">
            <v>10.07817166576654</v>
          </cell>
          <cell r="N27">
            <v>136.05531748784827</v>
          </cell>
          <cell r="R27">
            <v>1</v>
          </cell>
          <cell r="AD27">
            <v>6.7662878787878791</v>
          </cell>
          <cell r="AT27">
            <v>0</v>
          </cell>
          <cell r="AV27">
            <v>142.82160536663616</v>
          </cell>
        </row>
        <row r="28">
          <cell r="C28" t="str">
            <v>Custo Total (R$/Hora)</v>
          </cell>
          <cell r="D28"/>
          <cell r="E28"/>
          <cell r="F28"/>
          <cell r="G28">
            <v>106.81223779174672</v>
          </cell>
          <cell r="H28">
            <v>19.164908030335017</v>
          </cell>
          <cell r="I28"/>
          <cell r="J28"/>
          <cell r="O28"/>
          <cell r="P28"/>
          <cell r="Q28"/>
          <cell r="R28">
            <v>6.7662878787878791</v>
          </cell>
          <cell r="S28"/>
          <cell r="T28"/>
          <cell r="U28"/>
          <cell r="V28"/>
          <cell r="W28"/>
          <cell r="X28"/>
          <cell r="Y28"/>
          <cell r="AB28"/>
          <cell r="AC28"/>
          <cell r="AE28"/>
          <cell r="AF28"/>
          <cell r="AG28"/>
          <cell r="AH28"/>
          <cell r="AI28"/>
          <cell r="AJ28"/>
          <cell r="AK28"/>
          <cell r="AL28"/>
          <cell r="AM28"/>
          <cell r="AN28"/>
          <cell r="AO28"/>
          <cell r="AP28"/>
          <cell r="AQ28"/>
          <cell r="AR28"/>
          <cell r="AS28"/>
        </row>
        <row r="29">
          <cell r="B29" t="str">
            <v>EQ7</v>
          </cell>
          <cell r="C29" t="str">
            <v>Quantidade</v>
          </cell>
          <cell r="D29">
            <v>1</v>
          </cell>
          <cell r="H29">
            <v>1</v>
          </cell>
          <cell r="K29">
            <v>60.932464904359335</v>
          </cell>
          <cell r="L29">
            <v>0.08</v>
          </cell>
          <cell r="M29">
            <v>4.8745971923487472</v>
          </cell>
          <cell r="N29">
            <v>65.80706209670808</v>
          </cell>
          <cell r="P29">
            <v>1</v>
          </cell>
          <cell r="AD29">
            <v>4.5877525252525251</v>
          </cell>
          <cell r="AF29">
            <v>1</v>
          </cell>
          <cell r="AT29">
            <v>2.6654589371980677</v>
          </cell>
          <cell r="AV29">
            <v>73.060273559158674</v>
          </cell>
        </row>
        <row r="30">
          <cell r="C30" t="str">
            <v>Custo Total (R$/Hora)</v>
          </cell>
          <cell r="D30">
            <v>41.767556874024315</v>
          </cell>
          <cell r="E30"/>
          <cell r="F30"/>
          <cell r="G30"/>
          <cell r="H30">
            <v>19.164908030335017</v>
          </cell>
          <cell r="I30"/>
          <cell r="J30"/>
          <cell r="O30"/>
          <cell r="P30">
            <v>4.5877525252525251</v>
          </cell>
          <cell r="Q30"/>
          <cell r="R30"/>
          <cell r="S30"/>
          <cell r="T30"/>
          <cell r="U30"/>
          <cell r="V30"/>
          <cell r="W30"/>
          <cell r="X30"/>
          <cell r="Y30"/>
          <cell r="AB30"/>
          <cell r="AC30"/>
          <cell r="AE30"/>
          <cell r="AF30">
            <v>2.6654589371980677</v>
          </cell>
          <cell r="AG30"/>
          <cell r="AH30"/>
          <cell r="AI30"/>
          <cell r="AJ30"/>
          <cell r="AK30"/>
          <cell r="AL30"/>
          <cell r="AM30"/>
          <cell r="AN30"/>
          <cell r="AO30"/>
          <cell r="AP30"/>
          <cell r="AQ30"/>
          <cell r="AR30"/>
          <cell r="AS30"/>
        </row>
        <row r="31">
          <cell r="B31" t="str">
            <v>EQ7_T</v>
          </cell>
          <cell r="C31" t="str">
            <v>Quantidade</v>
          </cell>
          <cell r="D31">
            <v>1</v>
          </cell>
          <cell r="H31">
            <v>1</v>
          </cell>
          <cell r="K31">
            <v>76.165581130449169</v>
          </cell>
          <cell r="L31">
            <v>0.08</v>
          </cell>
          <cell r="M31">
            <v>6.0932464904359334</v>
          </cell>
          <cell r="N31">
            <v>82.2588276208851</v>
          </cell>
          <cell r="P31">
            <v>1</v>
          </cell>
          <cell r="AD31">
            <v>4.5877525252525251</v>
          </cell>
          <cell r="AF31">
            <v>1</v>
          </cell>
          <cell r="AT31">
            <v>2.6654589371980677</v>
          </cell>
          <cell r="AV31">
            <v>89.512039083335694</v>
          </cell>
        </row>
        <row r="32">
          <cell r="C32" t="str">
            <v>Custo Total (R$/Hora)</v>
          </cell>
          <cell r="D32">
            <v>52.209446092530392</v>
          </cell>
          <cell r="E32"/>
          <cell r="F32"/>
          <cell r="G32"/>
          <cell r="H32">
            <v>23.95613503791877</v>
          </cell>
          <cell r="I32"/>
          <cell r="J32"/>
          <cell r="O32"/>
          <cell r="P32">
            <v>4.5877525252525251</v>
          </cell>
          <cell r="Q32"/>
          <cell r="R32"/>
          <cell r="S32"/>
          <cell r="T32"/>
          <cell r="U32"/>
          <cell r="V32"/>
          <cell r="W32"/>
          <cell r="X32"/>
          <cell r="Y32"/>
          <cell r="Z32"/>
          <cell r="AA32"/>
          <cell r="AB32"/>
          <cell r="AC32"/>
          <cell r="AE32"/>
          <cell r="AF32">
            <v>2.6654589371980677</v>
          </cell>
          <cell r="AG32"/>
          <cell r="AH32"/>
          <cell r="AI32"/>
          <cell r="AJ32"/>
          <cell r="AK32"/>
          <cell r="AL32"/>
          <cell r="AM32"/>
          <cell r="AN32"/>
          <cell r="AO32"/>
          <cell r="AP32"/>
          <cell r="AQ32"/>
          <cell r="AR32"/>
          <cell r="AS32"/>
        </row>
        <row r="33">
          <cell r="B33" t="str">
            <v>EQ8</v>
          </cell>
          <cell r="C33" t="str">
            <v>Quantidade</v>
          </cell>
          <cell r="E33">
            <v>1</v>
          </cell>
          <cell r="H33">
            <v>1</v>
          </cell>
          <cell r="K33">
            <v>60.932464904359335</v>
          </cell>
          <cell r="L33">
            <v>0.08</v>
          </cell>
          <cell r="M33">
            <v>4.8745971923487472</v>
          </cell>
          <cell r="N33">
            <v>65.80706209670808</v>
          </cell>
          <cell r="P33">
            <v>1</v>
          </cell>
          <cell r="AD33">
            <v>4.5877525252525251</v>
          </cell>
          <cell r="AF33">
            <v>1</v>
          </cell>
          <cell r="AT33">
            <v>2.6654589371980677</v>
          </cell>
          <cell r="AV33">
            <v>73.060273559158674</v>
          </cell>
        </row>
        <row r="34">
          <cell r="C34" t="str">
            <v>Custo Total (R$/Hora)</v>
          </cell>
          <cell r="D34"/>
          <cell r="E34">
            <v>41.767556874024315</v>
          </cell>
          <cell r="F34"/>
          <cell r="G34"/>
          <cell r="H34">
            <v>19.164908030335017</v>
          </cell>
          <cell r="I34"/>
          <cell r="J34"/>
          <cell r="O34"/>
          <cell r="P34">
            <v>4.5877525252525251</v>
          </cell>
          <cell r="Q34"/>
          <cell r="R34"/>
          <cell r="S34"/>
          <cell r="T34"/>
          <cell r="U34"/>
          <cell r="V34"/>
          <cell r="W34"/>
          <cell r="X34"/>
          <cell r="Y34"/>
          <cell r="AB34"/>
          <cell r="AC34"/>
          <cell r="AE34"/>
          <cell r="AF34">
            <v>2.6654589371980677</v>
          </cell>
          <cell r="AG34"/>
          <cell r="AH34"/>
          <cell r="AI34"/>
          <cell r="AJ34"/>
          <cell r="AK34"/>
          <cell r="AL34"/>
          <cell r="AM34"/>
          <cell r="AN34"/>
          <cell r="AO34"/>
          <cell r="AP34"/>
          <cell r="AQ34"/>
          <cell r="AR34"/>
          <cell r="AS34"/>
        </row>
        <row r="35">
          <cell r="B35" t="str">
            <v>EQ8_T</v>
          </cell>
          <cell r="C35" t="str">
            <v>Quantidade</v>
          </cell>
          <cell r="E35">
            <v>1</v>
          </cell>
          <cell r="H35">
            <v>1</v>
          </cell>
          <cell r="K35">
            <v>76.165581130449169</v>
          </cell>
          <cell r="L35">
            <v>0.08</v>
          </cell>
          <cell r="M35">
            <v>6.0932464904359334</v>
          </cell>
          <cell r="N35">
            <v>82.2588276208851</v>
          </cell>
          <cell r="P35">
            <v>1</v>
          </cell>
          <cell r="AD35">
            <v>4.5877525252525251</v>
          </cell>
          <cell r="AF35">
            <v>1</v>
          </cell>
          <cell r="AT35">
            <v>2.6654589371980677</v>
          </cell>
          <cell r="AV35">
            <v>89.512039083335694</v>
          </cell>
        </row>
        <row r="36">
          <cell r="C36" t="str">
            <v>Custo Total (R$/Hora)</v>
          </cell>
          <cell r="D36"/>
          <cell r="E36">
            <v>52.209446092530392</v>
          </cell>
          <cell r="F36"/>
          <cell r="G36"/>
          <cell r="H36">
            <v>23.95613503791877</v>
          </cell>
          <cell r="I36"/>
          <cell r="J36"/>
          <cell r="O36"/>
          <cell r="P36">
            <v>4.5877525252525251</v>
          </cell>
          <cell r="Q36"/>
          <cell r="R36"/>
          <cell r="S36"/>
          <cell r="T36"/>
          <cell r="U36"/>
          <cell r="V36"/>
          <cell r="W36"/>
          <cell r="X36"/>
          <cell r="Y36"/>
          <cell r="Z36"/>
          <cell r="AA36"/>
          <cell r="AB36"/>
          <cell r="AC36"/>
          <cell r="AE36"/>
          <cell r="AF36">
            <v>2.6654589371980677</v>
          </cell>
          <cell r="AG36"/>
          <cell r="AH36"/>
          <cell r="AI36"/>
          <cell r="AJ36"/>
          <cell r="AK36"/>
          <cell r="AL36"/>
          <cell r="AM36"/>
          <cell r="AN36"/>
          <cell r="AO36"/>
          <cell r="AP36"/>
          <cell r="AQ36"/>
          <cell r="AR36"/>
          <cell r="AS36"/>
        </row>
        <row r="37">
          <cell r="B37" t="str">
            <v>EQ9</v>
          </cell>
          <cell r="C37" t="str">
            <v>Quantidade</v>
          </cell>
          <cell r="D37">
            <v>1</v>
          </cell>
          <cell r="H37">
            <v>1</v>
          </cell>
          <cell r="K37">
            <v>60.932464904359335</v>
          </cell>
          <cell r="L37">
            <v>0.08</v>
          </cell>
          <cell r="M37">
            <v>4.8745971923487472</v>
          </cell>
          <cell r="N37">
            <v>65.80706209670808</v>
          </cell>
          <cell r="Q37">
            <v>1</v>
          </cell>
          <cell r="AD37">
            <v>5.955303030303031</v>
          </cell>
          <cell r="AT37">
            <v>0</v>
          </cell>
          <cell r="AV37">
            <v>71.762365127011108</v>
          </cell>
        </row>
        <row r="38">
          <cell r="C38" t="str">
            <v>Custo Total (R$/Hora)</v>
          </cell>
          <cell r="D38">
            <v>41.767556874024315</v>
          </cell>
          <cell r="E38"/>
          <cell r="F38"/>
          <cell r="G38"/>
          <cell r="H38">
            <v>19.164908030335017</v>
          </cell>
          <cell r="I38"/>
          <cell r="J38"/>
          <cell r="O38"/>
          <cell r="P38"/>
          <cell r="Q38">
            <v>5.955303030303031</v>
          </cell>
          <cell r="R38"/>
          <cell r="S38"/>
          <cell r="T38"/>
          <cell r="U38"/>
          <cell r="V38"/>
          <cell r="W38"/>
          <cell r="X38"/>
          <cell r="Y38"/>
          <cell r="AB38"/>
          <cell r="AC38"/>
          <cell r="AE38"/>
          <cell r="AF38"/>
          <cell r="AG38"/>
          <cell r="AH38"/>
          <cell r="AI38"/>
          <cell r="AJ38"/>
          <cell r="AK38"/>
          <cell r="AL38"/>
          <cell r="AM38"/>
          <cell r="AN38"/>
          <cell r="AO38"/>
          <cell r="AP38"/>
          <cell r="AQ38"/>
          <cell r="AR38"/>
          <cell r="AS38"/>
        </row>
        <row r="39">
          <cell r="B39" t="str">
            <v>EQ10</v>
          </cell>
          <cell r="C39" t="str">
            <v>Quantidade</v>
          </cell>
          <cell r="E39">
            <v>1</v>
          </cell>
          <cell r="H39">
            <v>1</v>
          </cell>
          <cell r="K39">
            <v>60.932464904359335</v>
          </cell>
          <cell r="L39">
            <v>0.08</v>
          </cell>
          <cell r="M39">
            <v>4.8745971923487472</v>
          </cell>
          <cell r="N39">
            <v>65.80706209670808</v>
          </cell>
          <cell r="Q39">
            <v>1</v>
          </cell>
          <cell r="AD39">
            <v>5.955303030303031</v>
          </cell>
          <cell r="AT39">
            <v>0</v>
          </cell>
          <cell r="AV39">
            <v>71.762365127011108</v>
          </cell>
        </row>
        <row r="40">
          <cell r="C40" t="str">
            <v>Custo Total (R$/Hora)</v>
          </cell>
          <cell r="D40"/>
          <cell r="E40">
            <v>41.767556874024315</v>
          </cell>
          <cell r="F40"/>
          <cell r="G40"/>
          <cell r="H40">
            <v>19.164908030335017</v>
          </cell>
          <cell r="I40"/>
          <cell r="J40"/>
          <cell r="O40"/>
          <cell r="P40"/>
          <cell r="Q40">
            <v>5.955303030303031</v>
          </cell>
          <cell r="R40"/>
          <cell r="S40"/>
          <cell r="T40"/>
          <cell r="U40"/>
          <cell r="V40"/>
          <cell r="W40"/>
          <cell r="X40"/>
          <cell r="Y40"/>
          <cell r="AB40"/>
          <cell r="AC40"/>
          <cell r="AE40"/>
          <cell r="AF40"/>
          <cell r="AG40"/>
          <cell r="AH40"/>
          <cell r="AI40"/>
          <cell r="AJ40"/>
          <cell r="AK40"/>
          <cell r="AL40"/>
          <cell r="AM40"/>
          <cell r="AN40"/>
          <cell r="AO40"/>
          <cell r="AP40"/>
          <cell r="AQ40"/>
          <cell r="AR40"/>
          <cell r="AS40"/>
        </row>
        <row r="41">
          <cell r="B41" t="str">
            <v>EQ11</v>
          </cell>
          <cell r="C41" t="str">
            <v>Quantidade</v>
          </cell>
          <cell r="D41">
            <v>1</v>
          </cell>
          <cell r="F41">
            <v>1</v>
          </cell>
          <cell r="H41">
            <v>1</v>
          </cell>
          <cell r="K41">
            <v>97.913847661150399</v>
          </cell>
          <cell r="L41">
            <v>0.08</v>
          </cell>
          <cell r="M41">
            <v>7.833107812892032</v>
          </cell>
          <cell r="N41">
            <v>105.74695547404244</v>
          </cell>
          <cell r="AD41">
            <v>0</v>
          </cell>
          <cell r="AT41">
            <v>0</v>
          </cell>
          <cell r="AV41">
            <v>105.74695547404244</v>
          </cell>
        </row>
        <row r="42">
          <cell r="C42" t="str">
            <v>Custo Total (R$/Hora)</v>
          </cell>
          <cell r="D42">
            <v>41.767556874024315</v>
          </cell>
          <cell r="E42"/>
          <cell r="F42">
            <v>36.981382756791078</v>
          </cell>
          <cell r="G42"/>
          <cell r="H42">
            <v>19.164908030335017</v>
          </cell>
          <cell r="I42"/>
          <cell r="J42"/>
          <cell r="O42"/>
          <cell r="P42"/>
          <cell r="Q42"/>
          <cell r="R42"/>
          <cell r="S42"/>
          <cell r="T42"/>
          <cell r="U42"/>
          <cell r="V42"/>
          <cell r="W42"/>
          <cell r="X42"/>
          <cell r="Y42"/>
          <cell r="AB42"/>
          <cell r="AC42"/>
          <cell r="AE42"/>
          <cell r="AF42"/>
          <cell r="AG42"/>
          <cell r="AH42"/>
          <cell r="AI42"/>
          <cell r="AJ42"/>
          <cell r="AK42"/>
          <cell r="AL42"/>
          <cell r="AM42"/>
          <cell r="AN42"/>
          <cell r="AO42"/>
          <cell r="AP42"/>
          <cell r="AQ42"/>
          <cell r="AR42"/>
          <cell r="AS42"/>
        </row>
        <row r="43">
          <cell r="B43" t="str">
            <v>EQ12</v>
          </cell>
          <cell r="C43" t="str">
            <v>Quantidade</v>
          </cell>
          <cell r="E43">
            <v>1</v>
          </cell>
          <cell r="G43">
            <v>1</v>
          </cell>
          <cell r="H43">
            <v>1</v>
          </cell>
          <cell r="K43">
            <v>96.536544168274901</v>
          </cell>
          <cell r="L43">
            <v>0.08</v>
          </cell>
          <cell r="M43">
            <v>7.7229235334619926</v>
          </cell>
          <cell r="N43">
            <v>104.2594677017369</v>
          </cell>
          <cell r="AD43">
            <v>0</v>
          </cell>
          <cell r="AT43">
            <v>0</v>
          </cell>
          <cell r="AV43">
            <v>104.2594677017369</v>
          </cell>
        </row>
        <row r="44">
          <cell r="C44" t="str">
            <v>Custo Total (R$/Hora)</v>
          </cell>
          <cell r="D44"/>
          <cell r="E44">
            <v>41.767556874024315</v>
          </cell>
          <cell r="F44"/>
          <cell r="G44">
            <v>35.604079263915573</v>
          </cell>
          <cell r="H44">
            <v>19.164908030335017</v>
          </cell>
          <cell r="I44"/>
          <cell r="J44"/>
          <cell r="O44"/>
          <cell r="P44"/>
          <cell r="Q44"/>
          <cell r="R44"/>
          <cell r="S44"/>
          <cell r="T44"/>
          <cell r="U44"/>
          <cell r="V44"/>
          <cell r="W44"/>
          <cell r="X44"/>
          <cell r="Y44"/>
          <cell r="AB44"/>
          <cell r="AC44"/>
          <cell r="AE44"/>
          <cell r="AF44"/>
          <cell r="AG44"/>
          <cell r="AH44"/>
          <cell r="AI44"/>
          <cell r="AJ44"/>
          <cell r="AK44"/>
          <cell r="AL44"/>
          <cell r="AM44"/>
          <cell r="AN44"/>
          <cell r="AO44"/>
          <cell r="AP44"/>
          <cell r="AQ44"/>
          <cell r="AR44"/>
          <cell r="AS44"/>
        </row>
        <row r="45">
          <cell r="B45" t="str">
            <v>EQ13</v>
          </cell>
          <cell r="C45" t="str">
            <v>Quantidade</v>
          </cell>
          <cell r="D45">
            <v>2</v>
          </cell>
          <cell r="F45">
            <v>4</v>
          </cell>
          <cell r="H45">
            <v>2</v>
          </cell>
          <cell r="K45">
            <v>269.79046083588298</v>
          </cell>
          <cell r="L45">
            <v>0.08</v>
          </cell>
          <cell r="M45">
            <v>21.583236866870639</v>
          </cell>
          <cell r="N45">
            <v>291.37369770275365</v>
          </cell>
          <cell r="P45">
            <v>2</v>
          </cell>
          <cell r="T45">
            <v>1</v>
          </cell>
          <cell r="AD45">
            <v>30.660353535353536</v>
          </cell>
          <cell r="AI45">
            <v>1</v>
          </cell>
          <cell r="AJ45">
            <v>1</v>
          </cell>
          <cell r="AK45">
            <v>1</v>
          </cell>
          <cell r="AN45">
            <v>1</v>
          </cell>
          <cell r="AO45">
            <v>1</v>
          </cell>
          <cell r="AT45">
            <v>106.31546442687747</v>
          </cell>
          <cell r="AV45">
            <v>428.34951566498466</v>
          </cell>
        </row>
        <row r="46">
          <cell r="C46" t="str">
            <v>Custo Total (R$/Hora)</v>
          </cell>
          <cell r="D46">
            <v>83.53511374804863</v>
          </cell>
          <cell r="E46"/>
          <cell r="F46">
            <v>147.92553102716431</v>
          </cell>
          <cell r="G46"/>
          <cell r="H46">
            <v>38.329816060670034</v>
          </cell>
          <cell r="I46"/>
          <cell r="J46"/>
          <cell r="O46"/>
          <cell r="P46">
            <v>9.1755050505050502</v>
          </cell>
          <cell r="Q46"/>
          <cell r="R46"/>
          <cell r="S46"/>
          <cell r="T46">
            <v>21.484848484848484</v>
          </cell>
          <cell r="U46"/>
          <cell r="V46"/>
          <cell r="W46"/>
          <cell r="X46"/>
          <cell r="Y46"/>
          <cell r="AB46"/>
          <cell r="AC46"/>
          <cell r="AE46"/>
          <cell r="AF46"/>
          <cell r="AG46"/>
          <cell r="AH46"/>
          <cell r="AI46">
            <v>51.491820377689947</v>
          </cell>
          <cell r="AJ46">
            <v>9.9954710144927539</v>
          </cell>
          <cell r="AK46">
            <v>19.990942028985508</v>
          </cell>
          <cell r="AL46"/>
          <cell r="AM46"/>
          <cell r="AN46">
            <v>18.779369784804569</v>
          </cell>
          <cell r="AO46">
            <v>6.0578612209046998</v>
          </cell>
          <cell r="AP46"/>
          <cell r="AQ46"/>
          <cell r="AR46"/>
          <cell r="AS46"/>
        </row>
        <row r="47">
          <cell r="B47" t="str">
            <v>EQ13_T</v>
          </cell>
          <cell r="C47" t="str">
            <v>Quantidade</v>
          </cell>
          <cell r="D47">
            <v>2</v>
          </cell>
          <cell r="F47">
            <v>4</v>
          </cell>
          <cell r="H47">
            <v>2</v>
          </cell>
          <cell r="K47">
            <v>337.23807604485376</v>
          </cell>
          <cell r="L47">
            <v>0.08</v>
          </cell>
          <cell r="M47">
            <v>26.979046083588301</v>
          </cell>
          <cell r="N47">
            <v>364.21712212844204</v>
          </cell>
          <cell r="P47">
            <v>2</v>
          </cell>
          <cell r="T47">
            <v>1</v>
          </cell>
          <cell r="AD47">
            <v>30.660353535353536</v>
          </cell>
          <cell r="AI47">
            <v>1</v>
          </cell>
          <cell r="AJ47">
            <v>1</v>
          </cell>
          <cell r="AK47">
            <v>1</v>
          </cell>
          <cell r="AN47">
            <v>1</v>
          </cell>
          <cell r="AO47">
            <v>1</v>
          </cell>
          <cell r="AT47">
            <v>106.31546442687747</v>
          </cell>
          <cell r="AV47">
            <v>501.19294009067301</v>
          </cell>
        </row>
        <row r="48">
          <cell r="C48" t="str">
            <v>Custo Total (R$/Hora)</v>
          </cell>
          <cell r="D48">
            <v>104.41889218506078</v>
          </cell>
          <cell r="E48"/>
          <cell r="F48">
            <v>184.90691378395542</v>
          </cell>
          <cell r="G48"/>
          <cell r="H48">
            <v>47.91227007583754</v>
          </cell>
          <cell r="I48"/>
          <cell r="J48"/>
          <cell r="O48"/>
          <cell r="P48">
            <v>9.1755050505050502</v>
          </cell>
          <cell r="Q48"/>
          <cell r="R48"/>
          <cell r="S48"/>
          <cell r="T48">
            <v>21.484848484848484</v>
          </cell>
          <cell r="U48"/>
          <cell r="V48"/>
          <cell r="W48"/>
          <cell r="X48"/>
          <cell r="Y48"/>
          <cell r="Z48"/>
          <cell r="AA48"/>
          <cell r="AB48"/>
          <cell r="AC48"/>
          <cell r="AE48"/>
          <cell r="AF48"/>
          <cell r="AG48"/>
          <cell r="AH48"/>
          <cell r="AI48">
            <v>51.491820377689947</v>
          </cell>
          <cell r="AJ48">
            <v>9.9954710144927539</v>
          </cell>
          <cell r="AK48">
            <v>19.990942028985508</v>
          </cell>
          <cell r="AL48"/>
          <cell r="AM48"/>
          <cell r="AN48">
            <v>18.779369784804569</v>
          </cell>
          <cell r="AO48">
            <v>6.0578612209046998</v>
          </cell>
          <cell r="AP48"/>
          <cell r="AQ48"/>
          <cell r="AR48"/>
          <cell r="AS48"/>
        </row>
        <row r="49">
          <cell r="B49" t="str">
            <v>EQ14</v>
          </cell>
          <cell r="C49" t="str">
            <v>Quantidade</v>
          </cell>
          <cell r="E49">
            <v>2</v>
          </cell>
          <cell r="G49">
            <v>4</v>
          </cell>
          <cell r="H49">
            <v>2</v>
          </cell>
          <cell r="K49">
            <v>264.28124686438099</v>
          </cell>
          <cell r="L49">
            <v>0.08</v>
          </cell>
          <cell r="M49">
            <v>21.142499749150481</v>
          </cell>
          <cell r="N49">
            <v>285.42374661353148</v>
          </cell>
          <cell r="P49">
            <v>2</v>
          </cell>
          <cell r="T49">
            <v>1</v>
          </cell>
          <cell r="AD49">
            <v>30.660353535353536</v>
          </cell>
          <cell r="AI49">
            <v>1</v>
          </cell>
          <cell r="AJ49">
            <v>1</v>
          </cell>
          <cell r="AK49">
            <v>1</v>
          </cell>
          <cell r="AN49">
            <v>1</v>
          </cell>
          <cell r="AO49">
            <v>1</v>
          </cell>
          <cell r="AT49">
            <v>106.31546442687747</v>
          </cell>
          <cell r="AV49">
            <v>422.3995645757625</v>
          </cell>
        </row>
        <row r="50">
          <cell r="C50" t="str">
            <v>Custo Total (R$/Hora)</v>
          </cell>
          <cell r="D50"/>
          <cell r="E50">
            <v>83.53511374804863</v>
          </cell>
          <cell r="F50"/>
          <cell r="G50">
            <v>142.41631705566229</v>
          </cell>
          <cell r="H50">
            <v>38.329816060670034</v>
          </cell>
          <cell r="I50"/>
          <cell r="J50"/>
          <cell r="O50"/>
          <cell r="P50">
            <v>9.1755050505050502</v>
          </cell>
          <cell r="Q50"/>
          <cell r="R50"/>
          <cell r="S50"/>
          <cell r="T50">
            <v>21.484848484848484</v>
          </cell>
          <cell r="U50"/>
          <cell r="V50"/>
          <cell r="W50"/>
          <cell r="X50"/>
          <cell r="Y50"/>
          <cell r="AB50"/>
          <cell r="AC50"/>
          <cell r="AE50"/>
          <cell r="AF50"/>
          <cell r="AG50"/>
          <cell r="AH50"/>
          <cell r="AI50">
            <v>51.491820377689947</v>
          </cell>
          <cell r="AJ50">
            <v>9.9954710144927539</v>
          </cell>
          <cell r="AK50">
            <v>19.990942028985508</v>
          </cell>
          <cell r="AL50"/>
          <cell r="AM50"/>
          <cell r="AN50">
            <v>18.779369784804569</v>
          </cell>
          <cell r="AO50">
            <v>6.0578612209046998</v>
          </cell>
          <cell r="AP50"/>
          <cell r="AQ50"/>
          <cell r="AR50"/>
          <cell r="AS50"/>
        </row>
        <row r="51">
          <cell r="B51" t="str">
            <v>EQ14_T</v>
          </cell>
          <cell r="C51" t="str">
            <v>Quantidade</v>
          </cell>
          <cell r="E51">
            <v>2</v>
          </cell>
          <cell r="G51">
            <v>4</v>
          </cell>
          <cell r="H51">
            <v>2</v>
          </cell>
          <cell r="K51">
            <v>330.35155858047619</v>
          </cell>
          <cell r="L51">
            <v>0.08</v>
          </cell>
          <cell r="M51">
            <v>26.428124686438096</v>
          </cell>
          <cell r="N51">
            <v>356.77968326691428</v>
          </cell>
          <cell r="P51">
            <v>2</v>
          </cell>
          <cell r="T51">
            <v>1</v>
          </cell>
          <cell r="AD51">
            <v>30.660353535353536</v>
          </cell>
          <cell r="AI51">
            <v>1</v>
          </cell>
          <cell r="AJ51">
            <v>1</v>
          </cell>
          <cell r="AK51">
            <v>1</v>
          </cell>
          <cell r="AN51">
            <v>1</v>
          </cell>
          <cell r="AO51">
            <v>1</v>
          </cell>
          <cell r="AT51">
            <v>106.31546442687747</v>
          </cell>
          <cell r="AV51">
            <v>493.75550122914524</v>
          </cell>
        </row>
        <row r="52">
          <cell r="C52" t="str">
            <v>Custo Total (R$/Hora)</v>
          </cell>
          <cell r="D52"/>
          <cell r="E52">
            <v>104.41889218506078</v>
          </cell>
          <cell r="F52"/>
          <cell r="G52">
            <v>178.02039631957786</v>
          </cell>
          <cell r="H52">
            <v>47.91227007583754</v>
          </cell>
          <cell r="I52"/>
          <cell r="J52"/>
          <cell r="O52"/>
          <cell r="P52">
            <v>9.1755050505050502</v>
          </cell>
          <cell r="Q52"/>
          <cell r="R52"/>
          <cell r="S52"/>
          <cell r="T52">
            <v>21.484848484848484</v>
          </cell>
          <cell r="U52"/>
          <cell r="V52"/>
          <cell r="W52"/>
          <cell r="X52"/>
          <cell r="Y52"/>
          <cell r="Z52"/>
          <cell r="AA52"/>
          <cell r="AB52"/>
          <cell r="AC52"/>
          <cell r="AE52"/>
          <cell r="AF52"/>
          <cell r="AG52"/>
          <cell r="AH52"/>
          <cell r="AI52">
            <v>51.491820377689947</v>
          </cell>
          <cell r="AJ52">
            <v>9.9954710144927539</v>
          </cell>
          <cell r="AK52">
            <v>19.990942028985508</v>
          </cell>
          <cell r="AL52"/>
          <cell r="AM52"/>
          <cell r="AN52">
            <v>18.779369784804569</v>
          </cell>
          <cell r="AO52">
            <v>6.0578612209046998</v>
          </cell>
          <cell r="AP52"/>
          <cell r="AQ52"/>
          <cell r="AR52"/>
          <cell r="AS52"/>
        </row>
        <row r="53">
          <cell r="B53" t="str">
            <v>EQ15</v>
          </cell>
          <cell r="C53" t="str">
            <v>Quantidade</v>
          </cell>
          <cell r="F53">
            <v>1</v>
          </cell>
          <cell r="H53">
            <v>1</v>
          </cell>
          <cell r="K53">
            <v>56.146290787126091</v>
          </cell>
          <cell r="L53">
            <v>0.08</v>
          </cell>
          <cell r="M53">
            <v>4.4917032629700877</v>
          </cell>
          <cell r="N53">
            <v>60.637994050096182</v>
          </cell>
          <cell r="R53">
            <v>1</v>
          </cell>
          <cell r="W53">
            <v>1</v>
          </cell>
          <cell r="AD53">
            <v>7.7760555555555557</v>
          </cell>
          <cell r="AT53">
            <v>0</v>
          </cell>
          <cell r="AV53">
            <v>68.414049605651741</v>
          </cell>
        </row>
        <row r="54">
          <cell r="C54" t="str">
            <v>Custo Total (R$/Hora)</v>
          </cell>
          <cell r="D54"/>
          <cell r="E54"/>
          <cell r="F54">
            <v>36.981382756791078</v>
          </cell>
          <cell r="G54"/>
          <cell r="H54">
            <v>19.164908030335017</v>
          </cell>
          <cell r="I54"/>
          <cell r="J54"/>
          <cell r="O54"/>
          <cell r="P54"/>
          <cell r="Q54"/>
          <cell r="R54">
            <v>6.7662878787878791</v>
          </cell>
          <cell r="S54"/>
          <cell r="T54"/>
          <cell r="U54"/>
          <cell r="V54"/>
          <cell r="W54">
            <v>1.0097676767676769</v>
          </cell>
          <cell r="X54"/>
          <cell r="Y54"/>
          <cell r="AB54"/>
          <cell r="AC54"/>
          <cell r="AE54"/>
          <cell r="AF54"/>
          <cell r="AG54"/>
          <cell r="AH54"/>
          <cell r="AI54"/>
          <cell r="AJ54"/>
          <cell r="AK54"/>
          <cell r="AL54"/>
          <cell r="AM54"/>
          <cell r="AN54"/>
          <cell r="AO54"/>
          <cell r="AP54"/>
          <cell r="AQ54"/>
          <cell r="AR54"/>
          <cell r="AS54"/>
        </row>
        <row r="55">
          <cell r="B55" t="str">
            <v>EQ16</v>
          </cell>
          <cell r="C55" t="str">
            <v>Quantidade</v>
          </cell>
          <cell r="G55">
            <v>1</v>
          </cell>
          <cell r="H55">
            <v>1</v>
          </cell>
          <cell r="K55">
            <v>54.768987294250593</v>
          </cell>
          <cell r="L55">
            <v>0.08</v>
          </cell>
          <cell r="M55">
            <v>4.3815189835400474</v>
          </cell>
          <cell r="N55">
            <v>59.15050627779064</v>
          </cell>
          <cell r="R55">
            <v>1</v>
          </cell>
          <cell r="W55">
            <v>1</v>
          </cell>
          <cell r="AD55">
            <v>7.7760555555555557</v>
          </cell>
          <cell r="AT55">
            <v>0</v>
          </cell>
          <cell r="AV55">
            <v>66.926561833346199</v>
          </cell>
        </row>
        <row r="56">
          <cell r="C56" t="str">
            <v>Custo Total (R$/Hora)</v>
          </cell>
          <cell r="D56"/>
          <cell r="E56"/>
          <cell r="F56"/>
          <cell r="G56">
            <v>35.604079263915573</v>
          </cell>
          <cell r="H56">
            <v>19.164908030335017</v>
          </cell>
          <cell r="I56"/>
          <cell r="J56"/>
          <cell r="O56"/>
          <cell r="P56"/>
          <cell r="Q56"/>
          <cell r="R56">
            <v>6.7662878787878791</v>
          </cell>
          <cell r="S56"/>
          <cell r="T56"/>
          <cell r="U56"/>
          <cell r="V56"/>
          <cell r="W56">
            <v>1.0097676767676769</v>
          </cell>
          <cell r="X56"/>
          <cell r="Y56"/>
          <cell r="AB56"/>
          <cell r="AC56"/>
          <cell r="AE56"/>
          <cell r="AF56"/>
          <cell r="AG56"/>
          <cell r="AH56"/>
          <cell r="AI56"/>
          <cell r="AJ56"/>
          <cell r="AK56"/>
          <cell r="AL56"/>
          <cell r="AM56"/>
          <cell r="AN56"/>
          <cell r="AO56"/>
          <cell r="AP56"/>
          <cell r="AQ56"/>
          <cell r="AR56"/>
          <cell r="AS56"/>
        </row>
        <row r="57">
          <cell r="B57" t="str">
            <v>EQ17</v>
          </cell>
          <cell r="C57" t="str">
            <v>Quantidade</v>
          </cell>
          <cell r="F57">
            <v>2</v>
          </cell>
          <cell r="H57">
            <v>1</v>
          </cell>
          <cell r="K57">
            <v>93.127673543917169</v>
          </cell>
          <cell r="L57">
            <v>0.08</v>
          </cell>
          <cell r="M57">
            <v>7.4502138835133733</v>
          </cell>
          <cell r="N57">
            <v>100.57788742743054</v>
          </cell>
          <cell r="Q57">
            <v>1</v>
          </cell>
          <cell r="AD57">
            <v>5.955303030303031</v>
          </cell>
          <cell r="AG57">
            <v>1</v>
          </cell>
          <cell r="AT57">
            <v>24.231444883618799</v>
          </cell>
          <cell r="AV57">
            <v>130.76463534135237</v>
          </cell>
        </row>
        <row r="58">
          <cell r="C58" t="str">
            <v>Custo Total (R$/Hora)</v>
          </cell>
          <cell r="D58"/>
          <cell r="E58"/>
          <cell r="F58">
            <v>73.962765513582156</v>
          </cell>
          <cell r="G58"/>
          <cell r="H58">
            <v>19.164908030335017</v>
          </cell>
          <cell r="I58"/>
          <cell r="J58"/>
          <cell r="O58"/>
          <cell r="P58"/>
          <cell r="Q58">
            <v>5.955303030303031</v>
          </cell>
          <cell r="R58"/>
          <cell r="S58"/>
          <cell r="T58"/>
          <cell r="U58"/>
          <cell r="V58"/>
          <cell r="W58"/>
          <cell r="X58"/>
          <cell r="Y58"/>
          <cell r="AB58"/>
          <cell r="AC58"/>
          <cell r="AE58"/>
          <cell r="AF58"/>
          <cell r="AG58">
            <v>24.231444883618799</v>
          </cell>
          <cell r="AH58"/>
          <cell r="AI58"/>
          <cell r="AJ58"/>
          <cell r="AK58"/>
          <cell r="AL58"/>
          <cell r="AM58"/>
          <cell r="AN58"/>
          <cell r="AO58"/>
          <cell r="AP58"/>
          <cell r="AQ58"/>
          <cell r="AR58"/>
          <cell r="AS58"/>
        </row>
        <row r="59">
          <cell r="B59" t="str">
            <v>EQ17_T</v>
          </cell>
          <cell r="C59" t="str">
            <v>Quantidade</v>
          </cell>
          <cell r="F59">
            <v>2</v>
          </cell>
          <cell r="H59">
            <v>1</v>
          </cell>
          <cell r="K59">
            <v>116.40959192989648</v>
          </cell>
          <cell r="L59">
            <v>0.08</v>
          </cell>
          <cell r="M59">
            <v>9.3127673543917187</v>
          </cell>
          <cell r="N59">
            <v>125.7223592842882</v>
          </cell>
          <cell r="Q59">
            <v>1</v>
          </cell>
          <cell r="AD59">
            <v>5.955303030303031</v>
          </cell>
          <cell r="AG59">
            <v>1</v>
          </cell>
          <cell r="AT59">
            <v>24.231444883618799</v>
          </cell>
          <cell r="AV59">
            <v>155.90910719821002</v>
          </cell>
        </row>
        <row r="60">
          <cell r="C60" t="str">
            <v>Custo Total (R$/Hora)</v>
          </cell>
          <cell r="D60"/>
          <cell r="E60"/>
          <cell r="F60">
            <v>92.453456891977709</v>
          </cell>
          <cell r="G60"/>
          <cell r="H60">
            <v>23.95613503791877</v>
          </cell>
          <cell r="I60"/>
          <cell r="J60"/>
          <cell r="O60"/>
          <cell r="P60"/>
          <cell r="Q60">
            <v>5.955303030303031</v>
          </cell>
          <cell r="R60"/>
          <cell r="S60"/>
          <cell r="T60"/>
          <cell r="U60"/>
          <cell r="V60"/>
          <cell r="W60"/>
          <cell r="X60"/>
          <cell r="Y60"/>
          <cell r="Z60"/>
          <cell r="AA60"/>
          <cell r="AB60"/>
          <cell r="AC60"/>
          <cell r="AE60"/>
          <cell r="AF60"/>
          <cell r="AG60">
            <v>24.231444883618799</v>
          </cell>
          <cell r="AH60"/>
          <cell r="AI60"/>
          <cell r="AJ60"/>
          <cell r="AK60"/>
          <cell r="AL60"/>
          <cell r="AM60"/>
          <cell r="AN60"/>
          <cell r="AO60"/>
          <cell r="AP60"/>
          <cell r="AQ60"/>
          <cell r="AR60"/>
          <cell r="AS60"/>
        </row>
        <row r="61">
          <cell r="B61" t="str">
            <v>EQ18</v>
          </cell>
          <cell r="C61" t="str">
            <v>Quantidade</v>
          </cell>
          <cell r="G61">
            <v>1</v>
          </cell>
          <cell r="H61">
            <v>1</v>
          </cell>
          <cell r="K61">
            <v>54.768987294250593</v>
          </cell>
          <cell r="L61">
            <v>0.08</v>
          </cell>
          <cell r="M61">
            <v>4.3815189835400474</v>
          </cell>
          <cell r="N61">
            <v>59.15050627779064</v>
          </cell>
          <cell r="S61">
            <v>1</v>
          </cell>
          <cell r="AD61">
            <v>12.267676767676768</v>
          </cell>
          <cell r="AT61">
            <v>0</v>
          </cell>
          <cell r="AV61">
            <v>71.418183045467401</v>
          </cell>
        </row>
        <row r="62">
          <cell r="C62" t="str">
            <v>Custo Total (R$/Hora)</v>
          </cell>
          <cell r="D62"/>
          <cell r="E62"/>
          <cell r="F62"/>
          <cell r="G62">
            <v>35.604079263915573</v>
          </cell>
          <cell r="H62">
            <v>19.164908030335017</v>
          </cell>
          <cell r="I62"/>
          <cell r="J62"/>
          <cell r="O62"/>
          <cell r="P62"/>
          <cell r="Q62"/>
          <cell r="R62"/>
          <cell r="S62">
            <v>12.267676767676768</v>
          </cell>
          <cell r="T62"/>
          <cell r="U62"/>
          <cell r="V62"/>
          <cell r="W62"/>
          <cell r="X62"/>
          <cell r="Y62"/>
          <cell r="AB62"/>
          <cell r="AC62"/>
          <cell r="AE62"/>
          <cell r="AF62"/>
          <cell r="AG62"/>
          <cell r="AH62"/>
          <cell r="AI62"/>
          <cell r="AJ62"/>
          <cell r="AK62"/>
          <cell r="AL62"/>
          <cell r="AM62"/>
          <cell r="AN62"/>
          <cell r="AO62"/>
          <cell r="AP62"/>
          <cell r="AQ62"/>
          <cell r="AR62"/>
          <cell r="AS62"/>
        </row>
        <row r="63">
          <cell r="B63" t="str">
            <v>EQ19</v>
          </cell>
          <cell r="C63" t="str">
            <v>Quantidade</v>
          </cell>
          <cell r="G63">
            <v>1</v>
          </cell>
          <cell r="H63">
            <v>1</v>
          </cell>
          <cell r="K63">
            <v>54.768987294250593</v>
          </cell>
          <cell r="L63">
            <v>0.08</v>
          </cell>
          <cell r="M63">
            <v>4.3815189835400474</v>
          </cell>
          <cell r="N63">
            <v>59.15050627779064</v>
          </cell>
          <cell r="AD63">
            <v>0</v>
          </cell>
          <cell r="AP63">
            <v>1</v>
          </cell>
          <cell r="AQ63">
            <v>1</v>
          </cell>
          <cell r="AT63">
            <v>29.683519982433026</v>
          </cell>
          <cell r="AV63">
            <v>88.834026260223666</v>
          </cell>
        </row>
        <row r="64">
          <cell r="C64" t="str">
            <v>Custo Total (R$/Hora)</v>
          </cell>
          <cell r="D64"/>
          <cell r="E64"/>
          <cell r="F64"/>
          <cell r="G64">
            <v>35.604079263915573</v>
          </cell>
          <cell r="H64">
            <v>19.164908030335017</v>
          </cell>
          <cell r="I64"/>
          <cell r="J64"/>
          <cell r="O64"/>
          <cell r="P64"/>
          <cell r="Q64"/>
          <cell r="R64"/>
          <cell r="S64"/>
          <cell r="T64"/>
          <cell r="U64"/>
          <cell r="V64"/>
          <cell r="W64"/>
          <cell r="X64"/>
          <cell r="Y64"/>
          <cell r="AB64"/>
          <cell r="AC64"/>
          <cell r="AE64"/>
          <cell r="AF64"/>
          <cell r="AG64"/>
          <cell r="AH64"/>
          <cell r="AI64"/>
          <cell r="AJ64"/>
          <cell r="AK64"/>
          <cell r="AL64"/>
          <cell r="AM64"/>
          <cell r="AN64"/>
          <cell r="AO64"/>
          <cell r="AP64">
            <v>18.173583662714098</v>
          </cell>
          <cell r="AQ64">
            <v>11.509936319718928</v>
          </cell>
          <cell r="AR64"/>
          <cell r="AS64"/>
        </row>
        <row r="65">
          <cell r="B65" t="str">
            <v>EQ19_T</v>
          </cell>
          <cell r="C65" t="str">
            <v>Quantidade</v>
          </cell>
          <cell r="G65">
            <v>1</v>
          </cell>
          <cell r="H65">
            <v>1</v>
          </cell>
          <cell r="K65">
            <v>68.461234117813234</v>
          </cell>
          <cell r="L65">
            <v>0.08</v>
          </cell>
          <cell r="M65">
            <v>5.4768987294250584</v>
          </cell>
          <cell r="N65">
            <v>73.938132847238293</v>
          </cell>
          <cell r="AD65">
            <v>0</v>
          </cell>
          <cell r="AP65">
            <v>1</v>
          </cell>
          <cell r="AQ65">
            <v>1</v>
          </cell>
          <cell r="AT65">
            <v>29.683519982433026</v>
          </cell>
          <cell r="AV65">
            <v>103.62165282967132</v>
          </cell>
        </row>
        <row r="66">
          <cell r="C66" t="str">
            <v>Custo Total (R$/Hora)</v>
          </cell>
          <cell r="D66"/>
          <cell r="E66"/>
          <cell r="F66"/>
          <cell r="G66">
            <v>44.505099079894464</v>
          </cell>
          <cell r="H66">
            <v>23.95613503791877</v>
          </cell>
          <cell r="I66"/>
          <cell r="J66"/>
          <cell r="O66"/>
          <cell r="P66"/>
          <cell r="Q66"/>
          <cell r="R66"/>
          <cell r="S66"/>
          <cell r="T66"/>
          <cell r="U66"/>
          <cell r="V66"/>
          <cell r="W66"/>
          <cell r="X66"/>
          <cell r="Y66"/>
          <cell r="Z66"/>
          <cell r="AA66"/>
          <cell r="AB66"/>
          <cell r="AC66"/>
          <cell r="AE66"/>
          <cell r="AF66"/>
          <cell r="AG66"/>
          <cell r="AH66"/>
          <cell r="AI66"/>
          <cell r="AJ66"/>
          <cell r="AK66"/>
          <cell r="AL66"/>
          <cell r="AM66"/>
          <cell r="AN66"/>
          <cell r="AO66"/>
          <cell r="AP66">
            <v>18.173583662714098</v>
          </cell>
          <cell r="AQ66">
            <v>11.509936319718928</v>
          </cell>
          <cell r="AR66"/>
          <cell r="AS66"/>
        </row>
        <row r="67">
          <cell r="B67" t="str">
            <v>EQ20</v>
          </cell>
          <cell r="C67" t="str">
            <v>Quantidade</v>
          </cell>
          <cell r="K67">
            <v>0</v>
          </cell>
          <cell r="L67">
            <v>0.08</v>
          </cell>
          <cell r="M67">
            <v>0</v>
          </cell>
          <cell r="N67">
            <v>0</v>
          </cell>
          <cell r="AD67">
            <v>0</v>
          </cell>
          <cell r="AT67">
            <v>0</v>
          </cell>
          <cell r="AV67">
            <v>0</v>
          </cell>
        </row>
        <row r="68">
          <cell r="C68" t="str">
            <v>Custo Total (R$/Hora)</v>
          </cell>
          <cell r="D68"/>
          <cell r="E68"/>
          <cell r="F68"/>
          <cell r="G68"/>
          <cell r="H68"/>
          <cell r="I68"/>
          <cell r="J68"/>
          <cell r="O68"/>
          <cell r="P68"/>
          <cell r="Q68"/>
          <cell r="R68"/>
          <cell r="S68"/>
          <cell r="T68"/>
          <cell r="U68"/>
          <cell r="V68"/>
          <cell r="W68"/>
          <cell r="X68"/>
          <cell r="Y68"/>
          <cell r="AB68"/>
          <cell r="AC68"/>
          <cell r="AE68"/>
          <cell r="AF68"/>
          <cell r="AG68"/>
          <cell r="AH68"/>
          <cell r="AI68"/>
          <cell r="AJ68"/>
          <cell r="AK68"/>
          <cell r="AL68"/>
          <cell r="AM68"/>
          <cell r="AN68"/>
          <cell r="AO68"/>
          <cell r="AP68"/>
          <cell r="AQ68"/>
          <cell r="AR68"/>
          <cell r="AS68"/>
        </row>
        <row r="69">
          <cell r="B69" t="str">
            <v>EQ21</v>
          </cell>
          <cell r="C69" t="str">
            <v>Quantidade</v>
          </cell>
          <cell r="G69">
            <v>1</v>
          </cell>
          <cell r="H69">
            <v>1</v>
          </cell>
          <cell r="K69">
            <v>54.768987294250593</v>
          </cell>
          <cell r="L69">
            <v>0.08</v>
          </cell>
          <cell r="M69">
            <v>4.3815189835400474</v>
          </cell>
          <cell r="N69">
            <v>59.15050627779064</v>
          </cell>
          <cell r="T69">
            <v>1</v>
          </cell>
          <cell r="AD69">
            <v>21.484848484848484</v>
          </cell>
          <cell r="AR69">
            <v>1</v>
          </cell>
          <cell r="AT69">
            <v>3.0289306104523499</v>
          </cell>
          <cell r="AV69">
            <v>83.664285373091474</v>
          </cell>
        </row>
        <row r="70">
          <cell r="C70" t="str">
            <v>Custo Total (R$/Hora)</v>
          </cell>
          <cell r="D70"/>
          <cell r="E70"/>
          <cell r="F70"/>
          <cell r="G70">
            <v>35.604079263915573</v>
          </cell>
          <cell r="H70">
            <v>19.164908030335017</v>
          </cell>
          <cell r="I70"/>
          <cell r="J70"/>
          <cell r="O70"/>
          <cell r="P70"/>
          <cell r="Q70"/>
          <cell r="R70"/>
          <cell r="S70"/>
          <cell r="T70">
            <v>21.484848484848484</v>
          </cell>
          <cell r="U70"/>
          <cell r="V70"/>
          <cell r="W70"/>
          <cell r="X70"/>
          <cell r="Y70"/>
          <cell r="AB70"/>
          <cell r="AC70"/>
          <cell r="AE70"/>
          <cell r="AF70"/>
          <cell r="AG70"/>
          <cell r="AH70"/>
          <cell r="AI70"/>
          <cell r="AJ70"/>
          <cell r="AK70"/>
          <cell r="AL70"/>
          <cell r="AM70"/>
          <cell r="AN70"/>
          <cell r="AO70"/>
          <cell r="AP70"/>
          <cell r="AQ70"/>
          <cell r="AR70">
            <v>3.0289306104523499</v>
          </cell>
          <cell r="AS70"/>
        </row>
        <row r="71">
          <cell r="B71" t="str">
            <v>EQ22</v>
          </cell>
          <cell r="C71" t="str">
            <v>Quantidade</v>
          </cell>
          <cell r="G71">
            <v>1</v>
          </cell>
          <cell r="H71">
            <v>2</v>
          </cell>
          <cell r="K71">
            <v>73.933895324585606</v>
          </cell>
          <cell r="L71">
            <v>0.08</v>
          </cell>
          <cell r="M71">
            <v>5.9147116259668486</v>
          </cell>
          <cell r="N71">
            <v>79.848606950552451</v>
          </cell>
          <cell r="T71">
            <v>1</v>
          </cell>
          <cell r="AD71">
            <v>21.484848484848484</v>
          </cell>
          <cell r="AN71">
            <v>1</v>
          </cell>
          <cell r="AT71">
            <v>18.779369784804569</v>
          </cell>
          <cell r="AV71">
            <v>120.11282522020551</v>
          </cell>
        </row>
        <row r="72">
          <cell r="C72" t="str">
            <v>Custo Total (R$/Hora)</v>
          </cell>
          <cell r="D72"/>
          <cell r="E72"/>
          <cell r="F72"/>
          <cell r="G72">
            <v>35.604079263915573</v>
          </cell>
          <cell r="H72">
            <v>38.329816060670034</v>
          </cell>
          <cell r="I72"/>
          <cell r="J72"/>
          <cell r="O72"/>
          <cell r="P72"/>
          <cell r="Q72"/>
          <cell r="R72"/>
          <cell r="S72"/>
          <cell r="T72">
            <v>21.484848484848484</v>
          </cell>
          <cell r="U72"/>
          <cell r="V72"/>
          <cell r="W72"/>
          <cell r="X72"/>
          <cell r="Y72"/>
          <cell r="AB72"/>
          <cell r="AC72"/>
          <cell r="AE72"/>
          <cell r="AF72"/>
          <cell r="AG72"/>
          <cell r="AH72"/>
          <cell r="AI72"/>
          <cell r="AJ72"/>
          <cell r="AK72"/>
          <cell r="AL72"/>
          <cell r="AM72"/>
          <cell r="AN72">
            <v>18.779369784804569</v>
          </cell>
          <cell r="AO72"/>
          <cell r="AP72"/>
          <cell r="AQ72"/>
          <cell r="AR72"/>
          <cell r="AS72"/>
        </row>
        <row r="73">
          <cell r="B73" t="str">
            <v>EQ22_T</v>
          </cell>
          <cell r="C73" t="str">
            <v>Quantidade</v>
          </cell>
          <cell r="G73">
            <v>1</v>
          </cell>
          <cell r="H73">
            <v>2</v>
          </cell>
          <cell r="K73">
            <v>92.417369155732004</v>
          </cell>
          <cell r="L73">
            <v>0.08</v>
          </cell>
          <cell r="M73">
            <v>7.3933895324585608</v>
          </cell>
          <cell r="N73">
            <v>99.81075868819056</v>
          </cell>
          <cell r="T73">
            <v>1</v>
          </cell>
          <cell r="AD73">
            <v>21.484848484848484</v>
          </cell>
          <cell r="AN73">
            <v>1</v>
          </cell>
          <cell r="AT73">
            <v>18.779369784804569</v>
          </cell>
          <cell r="AV73">
            <v>140.0749769578436</v>
          </cell>
        </row>
        <row r="74">
          <cell r="C74" t="str">
            <v>Custo Total (R$/Hora)</v>
          </cell>
          <cell r="D74"/>
          <cell r="E74"/>
          <cell r="F74"/>
          <cell r="G74">
            <v>44.505099079894464</v>
          </cell>
          <cell r="H74">
            <v>47.91227007583754</v>
          </cell>
          <cell r="I74"/>
          <cell r="J74"/>
          <cell r="O74"/>
          <cell r="P74"/>
          <cell r="Q74"/>
          <cell r="R74"/>
          <cell r="S74"/>
          <cell r="T74">
            <v>21.484848484848484</v>
          </cell>
          <cell r="U74"/>
          <cell r="V74"/>
          <cell r="W74"/>
          <cell r="X74"/>
          <cell r="Y74"/>
          <cell r="Z74"/>
          <cell r="AA74"/>
          <cell r="AB74"/>
          <cell r="AC74"/>
          <cell r="AE74"/>
          <cell r="AF74"/>
          <cell r="AG74"/>
          <cell r="AH74"/>
          <cell r="AI74"/>
          <cell r="AJ74"/>
          <cell r="AK74"/>
          <cell r="AL74"/>
          <cell r="AM74"/>
          <cell r="AN74">
            <v>18.779369784804569</v>
          </cell>
          <cell r="AO74"/>
          <cell r="AP74"/>
          <cell r="AQ74"/>
          <cell r="AR74"/>
          <cell r="AS74"/>
        </row>
        <row r="75">
          <cell r="B75" t="str">
            <v>EQ23</v>
          </cell>
          <cell r="C75" t="str">
            <v>Quantidade</v>
          </cell>
          <cell r="F75">
            <v>2</v>
          </cell>
          <cell r="H75">
            <v>1</v>
          </cell>
          <cell r="K75">
            <v>93.127673543917169</v>
          </cell>
          <cell r="L75">
            <v>0.08</v>
          </cell>
          <cell r="M75">
            <v>7.4502138835133733</v>
          </cell>
          <cell r="N75">
            <v>100.57788742743054</v>
          </cell>
          <cell r="T75">
            <v>1</v>
          </cell>
          <cell r="AD75">
            <v>21.484848484848484</v>
          </cell>
          <cell r="AG75">
            <v>1</v>
          </cell>
          <cell r="AT75">
            <v>24.231444883618799</v>
          </cell>
          <cell r="AV75">
            <v>146.29418079589783</v>
          </cell>
        </row>
        <row r="76">
          <cell r="C76" t="str">
            <v>Custo Total (R$/Hora)</v>
          </cell>
          <cell r="D76"/>
          <cell r="E76"/>
          <cell r="F76">
            <v>73.962765513582156</v>
          </cell>
          <cell r="G76"/>
          <cell r="H76">
            <v>19.164908030335017</v>
          </cell>
          <cell r="I76"/>
          <cell r="J76"/>
          <cell r="O76"/>
          <cell r="P76"/>
          <cell r="Q76"/>
          <cell r="R76"/>
          <cell r="S76"/>
          <cell r="T76">
            <v>21.484848484848484</v>
          </cell>
          <cell r="U76"/>
          <cell r="V76"/>
          <cell r="W76"/>
          <cell r="X76"/>
          <cell r="Y76"/>
          <cell r="AB76"/>
          <cell r="AC76"/>
          <cell r="AE76"/>
          <cell r="AF76"/>
          <cell r="AG76">
            <v>24.231444883618799</v>
          </cell>
          <cell r="AH76"/>
          <cell r="AI76"/>
          <cell r="AJ76"/>
          <cell r="AK76"/>
          <cell r="AL76"/>
          <cell r="AM76"/>
          <cell r="AN76"/>
          <cell r="AO76"/>
          <cell r="AP76"/>
          <cell r="AQ76"/>
          <cell r="AR76"/>
          <cell r="AS76"/>
        </row>
        <row r="77">
          <cell r="B77" t="str">
            <v>EQ23_T</v>
          </cell>
          <cell r="C77" t="str">
            <v>Quantidade</v>
          </cell>
          <cell r="F77">
            <v>2</v>
          </cell>
          <cell r="H77">
            <v>1</v>
          </cell>
          <cell r="K77">
            <v>116.40959192989648</v>
          </cell>
          <cell r="L77">
            <v>0.08</v>
          </cell>
          <cell r="M77">
            <v>9.3127673543917187</v>
          </cell>
          <cell r="N77">
            <v>125.7223592842882</v>
          </cell>
          <cell r="T77">
            <v>1</v>
          </cell>
          <cell r="AD77">
            <v>21.484848484848484</v>
          </cell>
          <cell r="AG77">
            <v>1</v>
          </cell>
          <cell r="AT77">
            <v>24.231444883618799</v>
          </cell>
          <cell r="AV77">
            <v>171.43865265275548</v>
          </cell>
        </row>
        <row r="78">
          <cell r="C78" t="str">
            <v>Custo Total (R$/Hora)</v>
          </cell>
          <cell r="D78"/>
          <cell r="E78"/>
          <cell r="F78">
            <v>92.453456891977709</v>
          </cell>
          <cell r="G78"/>
          <cell r="H78">
            <v>23.95613503791877</v>
          </cell>
          <cell r="I78"/>
          <cell r="J78"/>
          <cell r="O78"/>
          <cell r="P78"/>
          <cell r="Q78"/>
          <cell r="R78"/>
          <cell r="S78"/>
          <cell r="T78">
            <v>21.484848484848484</v>
          </cell>
          <cell r="U78"/>
          <cell r="V78"/>
          <cell r="W78"/>
          <cell r="X78"/>
          <cell r="Y78"/>
          <cell r="Z78"/>
          <cell r="AA78"/>
          <cell r="AB78"/>
          <cell r="AC78"/>
          <cell r="AE78"/>
          <cell r="AF78"/>
          <cell r="AG78">
            <v>24.231444883618799</v>
          </cell>
          <cell r="AH78"/>
          <cell r="AI78"/>
          <cell r="AJ78"/>
          <cell r="AK78"/>
          <cell r="AL78"/>
          <cell r="AM78"/>
          <cell r="AN78"/>
          <cell r="AO78"/>
          <cell r="AP78"/>
          <cell r="AQ78"/>
          <cell r="AR78"/>
          <cell r="AS78"/>
        </row>
        <row r="79">
          <cell r="B79" t="str">
            <v>EQ24</v>
          </cell>
          <cell r="C79" t="str">
            <v>Quantidade</v>
          </cell>
          <cell r="G79">
            <v>1</v>
          </cell>
          <cell r="H79">
            <v>1</v>
          </cell>
          <cell r="K79">
            <v>54.768987294250593</v>
          </cell>
          <cell r="L79">
            <v>0.08</v>
          </cell>
          <cell r="M79">
            <v>4.3815189835400474</v>
          </cell>
          <cell r="N79">
            <v>59.15050627779064</v>
          </cell>
          <cell r="R79">
            <v>1</v>
          </cell>
          <cell r="AD79">
            <v>6.7662878787878791</v>
          </cell>
          <cell r="AT79">
            <v>0</v>
          </cell>
          <cell r="AV79">
            <v>65.916794156578518</v>
          </cell>
        </row>
        <row r="80">
          <cell r="C80" t="str">
            <v>Custo Total (R$/Hora)</v>
          </cell>
          <cell r="D80"/>
          <cell r="E80"/>
          <cell r="F80"/>
          <cell r="G80">
            <v>35.604079263915573</v>
          </cell>
          <cell r="H80">
            <v>19.164908030335017</v>
          </cell>
          <cell r="I80"/>
          <cell r="J80"/>
          <cell r="O80"/>
          <cell r="P80"/>
          <cell r="Q80"/>
          <cell r="R80">
            <v>6.7662878787878791</v>
          </cell>
          <cell r="S80"/>
          <cell r="T80"/>
          <cell r="U80"/>
          <cell r="V80"/>
          <cell r="W80"/>
          <cell r="X80"/>
          <cell r="Y80"/>
          <cell r="AB80"/>
          <cell r="AC80"/>
          <cell r="AE80"/>
          <cell r="AF80"/>
          <cell r="AG80"/>
          <cell r="AH80"/>
          <cell r="AI80"/>
          <cell r="AJ80"/>
          <cell r="AK80"/>
          <cell r="AL80"/>
          <cell r="AM80"/>
          <cell r="AN80"/>
          <cell r="AO80"/>
          <cell r="AP80"/>
          <cell r="AQ80"/>
          <cell r="AR80"/>
          <cell r="AS80"/>
        </row>
        <row r="81">
          <cell r="B81" t="str">
            <v>EQ24_T</v>
          </cell>
          <cell r="C81" t="str">
            <v>Quantidade</v>
          </cell>
          <cell r="G81">
            <v>1</v>
          </cell>
          <cell r="H81">
            <v>1</v>
          </cell>
          <cell r="K81">
            <v>68.461234117813234</v>
          </cell>
          <cell r="L81">
            <v>0.08</v>
          </cell>
          <cell r="M81">
            <v>5.4768987294250584</v>
          </cell>
          <cell r="N81">
            <v>73.938132847238293</v>
          </cell>
          <cell r="R81">
            <v>1</v>
          </cell>
          <cell r="AD81">
            <v>6.7662878787878791</v>
          </cell>
          <cell r="AT81">
            <v>0</v>
          </cell>
          <cell r="AV81">
            <v>80.704420726026171</v>
          </cell>
        </row>
        <row r="82">
          <cell r="C82" t="str">
            <v>Custo Total (R$/Hora)</v>
          </cell>
          <cell r="D82"/>
          <cell r="E82"/>
          <cell r="F82"/>
          <cell r="G82">
            <v>44.505099079894464</v>
          </cell>
          <cell r="H82">
            <v>23.95613503791877</v>
          </cell>
          <cell r="I82"/>
          <cell r="J82"/>
          <cell r="O82"/>
          <cell r="P82"/>
          <cell r="Q82"/>
          <cell r="R82">
            <v>6.7662878787878791</v>
          </cell>
          <cell r="S82"/>
          <cell r="T82"/>
          <cell r="U82"/>
          <cell r="V82"/>
          <cell r="W82"/>
          <cell r="X82"/>
          <cell r="Y82"/>
          <cell r="Z82"/>
          <cell r="AA82"/>
          <cell r="AB82"/>
          <cell r="AC82"/>
          <cell r="AE82"/>
          <cell r="AF82"/>
          <cell r="AG82"/>
          <cell r="AH82"/>
          <cell r="AI82"/>
          <cell r="AJ82"/>
          <cell r="AK82"/>
          <cell r="AL82"/>
          <cell r="AM82"/>
          <cell r="AN82"/>
          <cell r="AO82"/>
          <cell r="AP82"/>
          <cell r="AQ82"/>
          <cell r="AR82"/>
          <cell r="AS82"/>
        </row>
        <row r="83">
          <cell r="B83" t="str">
            <v>EQ25</v>
          </cell>
          <cell r="C83" t="str">
            <v>Quantidade</v>
          </cell>
          <cell r="I83">
            <v>1</v>
          </cell>
          <cell r="J83">
            <v>1</v>
          </cell>
          <cell r="K83">
            <v>162.29119215228502</v>
          </cell>
          <cell r="L83">
            <v>0.15</v>
          </cell>
          <cell r="M83">
            <v>24.343678822842751</v>
          </cell>
          <cell r="N83">
            <v>186.63487097512777</v>
          </cell>
          <cell r="P83">
            <v>1</v>
          </cell>
          <cell r="Q83">
            <v>1</v>
          </cell>
          <cell r="T83">
            <v>1</v>
          </cell>
          <cell r="U83">
            <v>1</v>
          </cell>
          <cell r="AD83">
            <v>43.080631313131313</v>
          </cell>
          <cell r="AG83">
            <v>1</v>
          </cell>
          <cell r="AT83">
            <v>24.231444883618799</v>
          </cell>
          <cell r="AV83">
            <v>253.94694717187787</v>
          </cell>
        </row>
        <row r="84">
          <cell r="C84" t="str">
            <v>Custo Total (R$/Hora)</v>
          </cell>
          <cell r="D84"/>
          <cell r="E84"/>
          <cell r="F84"/>
          <cell r="G84"/>
          <cell r="H84"/>
          <cell r="I84">
            <v>63.933948941063235</v>
          </cell>
          <cell r="J84">
            <v>98.357243211221771</v>
          </cell>
          <cell r="O84"/>
          <cell r="P84">
            <v>4.5877525252525251</v>
          </cell>
          <cell r="Q84">
            <v>5.955303030303031</v>
          </cell>
          <cell r="R84"/>
          <cell r="S84"/>
          <cell r="T84">
            <v>21.484848484848484</v>
          </cell>
          <cell r="U84">
            <v>11.052727272727273</v>
          </cell>
          <cell r="V84"/>
          <cell r="W84"/>
          <cell r="X84"/>
          <cell r="Y84"/>
          <cell r="AB84"/>
          <cell r="AC84"/>
          <cell r="AE84"/>
          <cell r="AF84"/>
          <cell r="AG84">
            <v>24.231444883618799</v>
          </cell>
          <cell r="AH84"/>
          <cell r="AI84"/>
          <cell r="AJ84"/>
          <cell r="AK84"/>
          <cell r="AL84"/>
          <cell r="AM84"/>
          <cell r="AN84"/>
          <cell r="AO84"/>
          <cell r="AP84"/>
          <cell r="AQ84"/>
          <cell r="AR84"/>
          <cell r="AS84"/>
        </row>
        <row r="85">
          <cell r="B85" t="str">
            <v>EQ26</v>
          </cell>
          <cell r="C85" t="str">
            <v>Quantidade</v>
          </cell>
          <cell r="G85">
            <v>1</v>
          </cell>
          <cell r="H85">
            <v>1</v>
          </cell>
          <cell r="K85">
            <v>54.768987294250593</v>
          </cell>
          <cell r="L85">
            <v>0.08</v>
          </cell>
          <cell r="M85">
            <v>4.3815189835400474</v>
          </cell>
          <cell r="N85">
            <v>59.15050627779064</v>
          </cell>
          <cell r="Z85">
            <v>1</v>
          </cell>
          <cell r="AD85">
            <v>45.719191919191914</v>
          </cell>
          <cell r="AT85">
            <v>0</v>
          </cell>
          <cell r="AV85">
            <v>104.86969819698255</v>
          </cell>
        </row>
        <row r="86">
          <cell r="C86" t="str">
            <v>Custo Total (R$/Hora)</v>
          </cell>
          <cell r="D86"/>
          <cell r="E86"/>
          <cell r="F86"/>
          <cell r="G86">
            <v>35.604079263915573</v>
          </cell>
          <cell r="H86">
            <v>19.164908030335017</v>
          </cell>
          <cell r="I86"/>
          <cell r="J86"/>
          <cell r="O86"/>
          <cell r="P86"/>
          <cell r="Q86"/>
          <cell r="R86"/>
          <cell r="S86"/>
          <cell r="T86"/>
          <cell r="U86"/>
          <cell r="V86"/>
          <cell r="W86"/>
          <cell r="X86"/>
          <cell r="Y86"/>
          <cell r="Z86">
            <v>45.719191919191914</v>
          </cell>
          <cell r="AB86"/>
          <cell r="AC86"/>
          <cell r="AE86"/>
          <cell r="AF86"/>
          <cell r="AG86"/>
          <cell r="AH86"/>
          <cell r="AI86"/>
          <cell r="AJ86"/>
          <cell r="AK86"/>
          <cell r="AL86"/>
          <cell r="AM86"/>
          <cell r="AN86"/>
          <cell r="AO86"/>
          <cell r="AP86"/>
          <cell r="AQ86"/>
          <cell r="AR86"/>
          <cell r="AS86"/>
        </row>
        <row r="87">
          <cell r="B87" t="str">
            <v>EQ26_T</v>
          </cell>
          <cell r="C87" t="str">
            <v>Quantidade</v>
          </cell>
          <cell r="G87">
            <v>1</v>
          </cell>
          <cell r="H87">
            <v>1</v>
          </cell>
          <cell r="K87">
            <v>68.461234117813234</v>
          </cell>
          <cell r="L87">
            <v>0.08</v>
          </cell>
          <cell r="M87">
            <v>5.4768987294250584</v>
          </cell>
          <cell r="N87">
            <v>73.938132847238293</v>
          </cell>
          <cell r="Z87">
            <v>1</v>
          </cell>
          <cell r="AD87">
            <v>45.719191919191914</v>
          </cell>
          <cell r="AT87">
            <v>0</v>
          </cell>
          <cell r="AV87">
            <v>119.65732476643021</v>
          </cell>
        </row>
        <row r="88">
          <cell r="C88" t="str">
            <v>Custo Total (R$/Hora)</v>
          </cell>
          <cell r="D88"/>
          <cell r="E88"/>
          <cell r="F88"/>
          <cell r="G88">
            <v>44.505099079894464</v>
          </cell>
          <cell r="H88">
            <v>23.95613503791877</v>
          </cell>
          <cell r="I88"/>
          <cell r="J88"/>
          <cell r="O88"/>
          <cell r="P88"/>
          <cell r="Q88"/>
          <cell r="R88"/>
          <cell r="S88"/>
          <cell r="T88"/>
          <cell r="U88"/>
          <cell r="V88"/>
          <cell r="W88"/>
          <cell r="X88"/>
          <cell r="Y88"/>
          <cell r="Z88">
            <v>45.719191919191914</v>
          </cell>
          <cell r="AA88"/>
          <cell r="AB88"/>
          <cell r="AC88"/>
          <cell r="AE88"/>
          <cell r="AF88"/>
          <cell r="AG88"/>
          <cell r="AH88"/>
          <cell r="AI88"/>
          <cell r="AJ88"/>
          <cell r="AK88"/>
          <cell r="AL88"/>
          <cell r="AM88"/>
          <cell r="AN88"/>
          <cell r="AO88"/>
          <cell r="AP88"/>
          <cell r="AQ88"/>
          <cell r="AR88"/>
          <cell r="AS88"/>
        </row>
        <row r="89">
          <cell r="B89" t="str">
            <v>EQ27</v>
          </cell>
          <cell r="C89" t="str">
            <v>Quantidade</v>
          </cell>
          <cell r="G89">
            <v>2</v>
          </cell>
          <cell r="H89">
            <v>2</v>
          </cell>
          <cell r="K89">
            <v>109.53797458850119</v>
          </cell>
          <cell r="L89">
            <v>0.08</v>
          </cell>
          <cell r="M89">
            <v>8.7630379670800949</v>
          </cell>
          <cell r="N89">
            <v>118.30101255558128</v>
          </cell>
          <cell r="S89">
            <v>1</v>
          </cell>
          <cell r="AD89">
            <v>12.267676767676768</v>
          </cell>
          <cell r="AJ89">
            <v>1</v>
          </cell>
          <cell r="AN89">
            <v>1</v>
          </cell>
          <cell r="AT89">
            <v>28.774840799297323</v>
          </cell>
          <cell r="AV89">
            <v>159.34353012255536</v>
          </cell>
        </row>
        <row r="90">
          <cell r="C90" t="str">
            <v>Custo Total (R$/Hora)</v>
          </cell>
          <cell r="D90"/>
          <cell r="E90"/>
          <cell r="F90"/>
          <cell r="G90">
            <v>71.208158527831145</v>
          </cell>
          <cell r="H90">
            <v>38.329816060670034</v>
          </cell>
          <cell r="I90"/>
          <cell r="J90"/>
          <cell r="O90"/>
          <cell r="P90"/>
          <cell r="Q90"/>
          <cell r="R90"/>
          <cell r="S90">
            <v>12.267676767676768</v>
          </cell>
          <cell r="T90"/>
          <cell r="U90"/>
          <cell r="V90"/>
          <cell r="W90"/>
          <cell r="X90"/>
          <cell r="Y90"/>
          <cell r="AB90"/>
          <cell r="AC90"/>
          <cell r="AE90"/>
          <cell r="AF90"/>
          <cell r="AG90"/>
          <cell r="AH90"/>
          <cell r="AI90"/>
          <cell r="AJ90">
            <v>9.9954710144927539</v>
          </cell>
          <cell r="AK90"/>
          <cell r="AL90"/>
          <cell r="AM90"/>
          <cell r="AN90">
            <v>18.779369784804569</v>
          </cell>
          <cell r="AO90"/>
          <cell r="AP90"/>
          <cell r="AQ90"/>
          <cell r="AR90"/>
          <cell r="AS90"/>
        </row>
        <row r="91">
          <cell r="B91" t="str">
            <v>EQ27_T</v>
          </cell>
          <cell r="C91" t="str">
            <v>Quantidade</v>
          </cell>
          <cell r="G91">
            <v>2</v>
          </cell>
          <cell r="H91">
            <v>2</v>
          </cell>
          <cell r="K91">
            <v>136.92246823562647</v>
          </cell>
          <cell r="L91">
            <v>0.08</v>
          </cell>
          <cell r="M91">
            <v>10.953797458850117</v>
          </cell>
          <cell r="N91">
            <v>147.87626569447659</v>
          </cell>
          <cell r="S91">
            <v>1</v>
          </cell>
          <cell r="AD91">
            <v>12.267676767676768</v>
          </cell>
          <cell r="AJ91">
            <v>1</v>
          </cell>
          <cell r="AN91">
            <v>1</v>
          </cell>
          <cell r="AT91">
            <v>28.774840799297323</v>
          </cell>
          <cell r="AV91">
            <v>188.91878326145067</v>
          </cell>
        </row>
        <row r="92">
          <cell r="C92" t="str">
            <v>Custo Total (R$/Hora)</v>
          </cell>
          <cell r="D92"/>
          <cell r="E92"/>
          <cell r="F92"/>
          <cell r="G92">
            <v>89.010198159788928</v>
          </cell>
          <cell r="H92">
            <v>47.91227007583754</v>
          </cell>
          <cell r="I92"/>
          <cell r="J92"/>
          <cell r="O92"/>
          <cell r="P92"/>
          <cell r="Q92"/>
          <cell r="R92"/>
          <cell r="S92">
            <v>12.267676767676768</v>
          </cell>
          <cell r="T92"/>
          <cell r="U92"/>
          <cell r="V92"/>
          <cell r="W92"/>
          <cell r="X92"/>
          <cell r="Y92"/>
          <cell r="Z92"/>
          <cell r="AA92"/>
          <cell r="AB92"/>
          <cell r="AC92"/>
          <cell r="AE92"/>
          <cell r="AF92"/>
          <cell r="AG92"/>
          <cell r="AH92"/>
          <cell r="AI92"/>
          <cell r="AJ92">
            <v>9.9954710144927539</v>
          </cell>
          <cell r="AK92"/>
          <cell r="AL92"/>
          <cell r="AM92"/>
          <cell r="AN92">
            <v>18.779369784804569</v>
          </cell>
          <cell r="AO92"/>
          <cell r="AP92"/>
          <cell r="AQ92"/>
          <cell r="AR92"/>
          <cell r="AS92"/>
        </row>
        <row r="93">
          <cell r="B93" t="str">
            <v>EQ28</v>
          </cell>
          <cell r="C93" t="str">
            <v>Quantidade</v>
          </cell>
          <cell r="F93">
            <v>1</v>
          </cell>
          <cell r="H93">
            <v>1</v>
          </cell>
          <cell r="K93">
            <v>56.146290787126091</v>
          </cell>
          <cell r="L93">
            <v>0.08</v>
          </cell>
          <cell r="M93">
            <v>4.4917032629700877</v>
          </cell>
          <cell r="N93">
            <v>60.637994050096182</v>
          </cell>
          <cell r="P93">
            <v>1</v>
          </cell>
          <cell r="AD93">
            <v>4.5877525252525251</v>
          </cell>
          <cell r="AT93">
            <v>0</v>
          </cell>
          <cell r="AV93">
            <v>65.225746575348708</v>
          </cell>
        </row>
        <row r="94">
          <cell r="C94" t="str">
            <v>Custo Total (R$/Hora)</v>
          </cell>
          <cell r="D94"/>
          <cell r="E94"/>
          <cell r="F94">
            <v>36.981382756791078</v>
          </cell>
          <cell r="G94"/>
          <cell r="H94">
            <v>19.164908030335017</v>
          </cell>
          <cell r="I94"/>
          <cell r="J94"/>
          <cell r="O94"/>
          <cell r="P94">
            <v>4.5877525252525251</v>
          </cell>
          <cell r="Q94"/>
          <cell r="R94"/>
          <cell r="S94"/>
          <cell r="T94"/>
          <cell r="U94"/>
          <cell r="V94"/>
          <cell r="W94"/>
          <cell r="X94"/>
          <cell r="Y94"/>
          <cell r="AB94"/>
          <cell r="AC94"/>
          <cell r="AE94"/>
          <cell r="AF94"/>
          <cell r="AG94"/>
          <cell r="AH94"/>
          <cell r="AI94"/>
          <cell r="AJ94"/>
          <cell r="AK94"/>
          <cell r="AL94"/>
          <cell r="AM94"/>
          <cell r="AN94"/>
          <cell r="AO94"/>
          <cell r="AP94"/>
          <cell r="AQ94"/>
          <cell r="AR94"/>
          <cell r="AS94"/>
        </row>
        <row r="95">
          <cell r="B95" t="str">
            <v>EQ29</v>
          </cell>
          <cell r="C95" t="str">
            <v>Quantidade</v>
          </cell>
          <cell r="F95">
            <v>1</v>
          </cell>
          <cell r="G95">
            <v>1</v>
          </cell>
          <cell r="H95">
            <v>1</v>
          </cell>
          <cell r="K95">
            <v>91.750370051041656</v>
          </cell>
          <cell r="L95">
            <v>0.08</v>
          </cell>
          <cell r="M95">
            <v>7.340029604083333</v>
          </cell>
          <cell r="N95">
            <v>99.090399655124983</v>
          </cell>
          <cell r="P95">
            <v>1</v>
          </cell>
          <cell r="AD95">
            <v>4.5877525252525251</v>
          </cell>
          <cell r="AT95">
            <v>0</v>
          </cell>
          <cell r="AV95">
            <v>103.67815218037751</v>
          </cell>
        </row>
        <row r="96">
          <cell r="C96" t="str">
            <v>Custo Total (R$/Hora)</v>
          </cell>
          <cell r="D96"/>
          <cell r="E96"/>
          <cell r="F96">
            <v>36.981382756791078</v>
          </cell>
          <cell r="G96">
            <v>35.604079263915573</v>
          </cell>
          <cell r="H96">
            <v>19.164908030335017</v>
          </cell>
          <cell r="I96"/>
          <cell r="J96"/>
          <cell r="O96"/>
          <cell r="P96">
            <v>4.5877525252525251</v>
          </cell>
          <cell r="Q96"/>
          <cell r="R96"/>
          <cell r="S96"/>
          <cell r="T96"/>
          <cell r="U96"/>
          <cell r="V96"/>
          <cell r="W96"/>
          <cell r="X96"/>
          <cell r="Y96"/>
          <cell r="AB96"/>
          <cell r="AC96"/>
          <cell r="AE96"/>
          <cell r="AF96"/>
          <cell r="AG96"/>
          <cell r="AH96"/>
          <cell r="AI96"/>
          <cell r="AJ96"/>
          <cell r="AK96"/>
          <cell r="AL96"/>
          <cell r="AM96"/>
          <cell r="AN96"/>
          <cell r="AO96"/>
          <cell r="AP96"/>
          <cell r="AQ96"/>
          <cell r="AR96"/>
          <cell r="AS96"/>
        </row>
        <row r="97">
          <cell r="B97" t="str">
            <v>EQ30</v>
          </cell>
          <cell r="C97" t="str">
            <v>Quantidade</v>
          </cell>
          <cell r="G97">
            <v>1</v>
          </cell>
          <cell r="H97">
            <v>1</v>
          </cell>
          <cell r="K97">
            <v>54.768987294250593</v>
          </cell>
          <cell r="L97">
            <v>0.08</v>
          </cell>
          <cell r="M97">
            <v>4.3815189835400474</v>
          </cell>
          <cell r="N97">
            <v>59.15050627779064</v>
          </cell>
          <cell r="Y97">
            <v>1</v>
          </cell>
          <cell r="AD97">
            <v>52.119191919191913</v>
          </cell>
          <cell r="AT97">
            <v>0</v>
          </cell>
          <cell r="AV97">
            <v>111.26969819698255</v>
          </cell>
        </row>
        <row r="98">
          <cell r="C98" t="str">
            <v>Custo Total (R$/Hora)</v>
          </cell>
          <cell r="D98"/>
          <cell r="E98"/>
          <cell r="F98"/>
          <cell r="G98">
            <v>35.604079263915573</v>
          </cell>
          <cell r="H98">
            <v>19.164908030335017</v>
          </cell>
          <cell r="I98"/>
          <cell r="J98"/>
          <cell r="O98"/>
          <cell r="P98"/>
          <cell r="Q98"/>
          <cell r="R98"/>
          <cell r="S98"/>
          <cell r="T98"/>
          <cell r="U98"/>
          <cell r="V98"/>
          <cell r="W98"/>
          <cell r="X98"/>
          <cell r="Y98">
            <v>52.119191919191913</v>
          </cell>
          <cell r="AB98"/>
          <cell r="AC98"/>
          <cell r="AE98"/>
          <cell r="AF98"/>
          <cell r="AG98"/>
          <cell r="AH98"/>
          <cell r="AI98"/>
          <cell r="AJ98"/>
          <cell r="AK98"/>
          <cell r="AL98"/>
          <cell r="AM98"/>
          <cell r="AN98"/>
          <cell r="AO98"/>
          <cell r="AP98"/>
          <cell r="AQ98"/>
          <cell r="AR98"/>
          <cell r="AS98"/>
        </row>
        <row r="99">
          <cell r="B99" t="str">
            <v>EQ31</v>
          </cell>
          <cell r="C99" t="str">
            <v>Quantidade</v>
          </cell>
          <cell r="G99">
            <v>1</v>
          </cell>
          <cell r="H99">
            <v>1</v>
          </cell>
          <cell r="K99">
            <v>54.768987294250593</v>
          </cell>
          <cell r="L99">
            <v>0.08</v>
          </cell>
          <cell r="M99">
            <v>4.3815189835400474</v>
          </cell>
          <cell r="N99">
            <v>59.15050627779064</v>
          </cell>
          <cell r="X99">
            <v>1</v>
          </cell>
          <cell r="AD99">
            <v>22.620833333333334</v>
          </cell>
          <cell r="AT99">
            <v>0</v>
          </cell>
          <cell r="AV99">
            <v>81.771339611123977</v>
          </cell>
        </row>
        <row r="100">
          <cell r="C100" t="str">
            <v>Custo Total (R$/Hora)</v>
          </cell>
          <cell r="D100"/>
          <cell r="E100"/>
          <cell r="F100"/>
          <cell r="G100">
            <v>35.604079263915573</v>
          </cell>
          <cell r="H100">
            <v>19.164908030335017</v>
          </cell>
          <cell r="I100"/>
          <cell r="J100"/>
          <cell r="O100"/>
          <cell r="P100"/>
          <cell r="Q100"/>
          <cell r="R100"/>
          <cell r="S100"/>
          <cell r="T100"/>
          <cell r="U100"/>
          <cell r="V100"/>
          <cell r="W100"/>
          <cell r="X100">
            <v>22.620833333333334</v>
          </cell>
          <cell r="Y100"/>
          <cell r="AB100"/>
          <cell r="AC100"/>
          <cell r="AE100"/>
          <cell r="AF100"/>
          <cell r="AG100"/>
          <cell r="AH100"/>
          <cell r="AI100"/>
          <cell r="AJ100"/>
          <cell r="AK100"/>
          <cell r="AL100"/>
          <cell r="AM100"/>
          <cell r="AN100"/>
          <cell r="AO100"/>
          <cell r="AP100"/>
          <cell r="AQ100"/>
          <cell r="AR100"/>
          <cell r="AS100"/>
        </row>
        <row r="101">
          <cell r="B101" t="str">
            <v>EQ32</v>
          </cell>
          <cell r="C101" t="str">
            <v>Quantidade</v>
          </cell>
          <cell r="K101">
            <v>0</v>
          </cell>
          <cell r="L101">
            <v>0.08</v>
          </cell>
          <cell r="M101">
            <v>0</v>
          </cell>
          <cell r="N101">
            <v>0</v>
          </cell>
          <cell r="AD101">
            <v>0</v>
          </cell>
          <cell r="AT101">
            <v>0</v>
          </cell>
          <cell r="AV101">
            <v>0</v>
          </cell>
        </row>
        <row r="102">
          <cell r="C102" t="str">
            <v>Custo Total (R$/Hora)</v>
          </cell>
          <cell r="D102"/>
          <cell r="E102"/>
          <cell r="F102"/>
          <cell r="G102"/>
          <cell r="H102"/>
          <cell r="I102"/>
          <cell r="J102"/>
          <cell r="O102"/>
          <cell r="P102"/>
          <cell r="Q102"/>
          <cell r="R102"/>
          <cell r="S102"/>
          <cell r="T102"/>
          <cell r="U102"/>
          <cell r="V102"/>
          <cell r="W102"/>
          <cell r="X102"/>
          <cell r="Y102"/>
          <cell r="AB102"/>
          <cell r="AC102"/>
          <cell r="AE102"/>
          <cell r="AF102"/>
          <cell r="AG102"/>
          <cell r="AH102"/>
          <cell r="AI102"/>
          <cell r="AJ102"/>
          <cell r="AK102"/>
          <cell r="AL102"/>
          <cell r="AM102"/>
          <cell r="AN102"/>
          <cell r="AO102"/>
          <cell r="AP102"/>
          <cell r="AQ102"/>
          <cell r="AR102"/>
          <cell r="AS102"/>
        </row>
        <row r="105">
          <cell r="B105" t="str">
            <v>EQUIPES COM TURNO</v>
          </cell>
          <cell r="C105" t="str">
            <v>Custo Unitário 6h (R$/Hora)</v>
          </cell>
          <cell r="D105">
            <v>52.209446092530392</v>
          </cell>
          <cell r="E105">
            <v>52.209446092530392</v>
          </cell>
          <cell r="F105">
            <v>46.226728445988854</v>
          </cell>
          <cell r="G105">
            <v>44.505099079894464</v>
          </cell>
          <cell r="H105">
            <v>23.95613503791877</v>
          </cell>
          <cell r="I105">
            <v>79.917436176329048</v>
          </cell>
          <cell r="J105">
            <v>122.94655401402721</v>
          </cell>
          <cell r="K105" t="str">
            <v>Mão de Obra</v>
          </cell>
          <cell r="L105" t="str">
            <v>% EPI + EPC</v>
          </cell>
          <cell r="M105" t="str">
            <v>Custo EPI + EPC</v>
          </cell>
          <cell r="N105" t="str">
            <v>Mão de Obra Total</v>
          </cell>
          <cell r="O105">
            <v>4.4077525252525254</v>
          </cell>
          <cell r="P105">
            <v>4.5877525252525251</v>
          </cell>
          <cell r="Q105">
            <v>5.955303030303031</v>
          </cell>
          <cell r="R105">
            <v>6.7662878787878791</v>
          </cell>
          <cell r="S105">
            <v>12.267676767676768</v>
          </cell>
          <cell r="T105">
            <v>21.484848484848484</v>
          </cell>
          <cell r="U105">
            <v>11.052727272727273</v>
          </cell>
          <cell r="V105">
            <v>2.2656969696969695</v>
          </cell>
          <cell r="W105">
            <v>1.0097676767676769</v>
          </cell>
          <cell r="X105">
            <v>22.620833333333334</v>
          </cell>
          <cell r="Y105">
            <v>52.119191919191913</v>
          </cell>
          <cell r="Z105">
            <v>45.719191919191914</v>
          </cell>
          <cell r="AA105">
            <v>0</v>
          </cell>
          <cell r="AB105">
            <v>0</v>
          </cell>
          <cell r="AC105">
            <v>0</v>
          </cell>
          <cell r="AD105" t="str">
            <v>Veículo</v>
          </cell>
          <cell r="AE105">
            <v>0.51491820377689945</v>
          </cell>
          <cell r="AF105">
            <v>2.6654589371980677</v>
          </cell>
          <cell r="AG105">
            <v>24.231444883618799</v>
          </cell>
          <cell r="AH105">
            <v>28.774840799297323</v>
          </cell>
          <cell r="AI105">
            <v>51.491820377689947</v>
          </cell>
          <cell r="AJ105">
            <v>9.9954710144927539</v>
          </cell>
          <cell r="AK105">
            <v>19.990942028985508</v>
          </cell>
          <cell r="AL105">
            <v>3.6347167325428191E-2</v>
          </cell>
          <cell r="AM105">
            <v>0</v>
          </cell>
          <cell r="AN105">
            <v>18.779369784804569</v>
          </cell>
          <cell r="AO105">
            <v>6.0578612209046998</v>
          </cell>
          <cell r="AP105">
            <v>18.173583662714098</v>
          </cell>
          <cell r="AQ105">
            <v>11.509936319718928</v>
          </cell>
          <cell r="AR105">
            <v>3.0289306104523499</v>
          </cell>
          <cell r="AS105">
            <v>0</v>
          </cell>
          <cell r="AT105" t="str">
            <v>Máquinas</v>
          </cell>
          <cell r="AV105" t="str">
            <v>EQUIPE</v>
          </cell>
        </row>
      </sheetData>
      <sheetData sheetId="4">
        <row r="13">
          <cell r="C13" t="str">
            <v>Veículo Leve Administrativo</v>
          </cell>
          <cell r="D13">
            <v>25000</v>
          </cell>
          <cell r="E13">
            <v>0</v>
          </cell>
          <cell r="F13">
            <v>0</v>
          </cell>
          <cell r="G13">
            <v>4</v>
          </cell>
          <cell r="H13">
            <v>5</v>
          </cell>
          <cell r="I13">
            <v>22000</v>
          </cell>
          <cell r="J13">
            <v>15</v>
          </cell>
          <cell r="K13" t="str">
            <v>Gasolina</v>
          </cell>
          <cell r="L13">
            <v>2.7</v>
          </cell>
          <cell r="M13">
            <v>0.05</v>
          </cell>
          <cell r="N13">
            <v>0.06</v>
          </cell>
          <cell r="O13">
            <v>3000</v>
          </cell>
          <cell r="Q13">
            <v>3960.0000000000005</v>
          </cell>
          <cell r="R13">
            <v>1250</v>
          </cell>
          <cell r="S13">
            <v>1500</v>
          </cell>
          <cell r="T13">
            <v>6513.257575757576</v>
          </cell>
          <cell r="U13">
            <v>13223.257575757576</v>
          </cell>
          <cell r="V13">
            <v>1101.9381313131314</v>
          </cell>
          <cell r="W13">
            <v>4.4077525252525254</v>
          </cell>
        </row>
        <row r="14">
          <cell r="C14" t="str">
            <v>Veículo Leve Operacional</v>
          </cell>
          <cell r="D14">
            <v>25000</v>
          </cell>
          <cell r="E14">
            <v>0</v>
          </cell>
          <cell r="F14">
            <v>0</v>
          </cell>
          <cell r="G14">
            <v>4</v>
          </cell>
          <cell r="H14">
            <v>5</v>
          </cell>
          <cell r="I14">
            <v>25000</v>
          </cell>
          <cell r="J14">
            <v>15</v>
          </cell>
          <cell r="K14" t="str">
            <v>Gasolina</v>
          </cell>
          <cell r="L14">
            <v>2.7</v>
          </cell>
          <cell r="M14">
            <v>0.05</v>
          </cell>
          <cell r="N14">
            <v>0.06</v>
          </cell>
          <cell r="O14">
            <v>3000</v>
          </cell>
          <cell r="Q14">
            <v>4500.0000000000009</v>
          </cell>
          <cell r="R14">
            <v>1250</v>
          </cell>
          <cell r="S14">
            <v>1500</v>
          </cell>
          <cell r="T14">
            <v>6513.257575757576</v>
          </cell>
          <cell r="U14">
            <v>13763.257575757576</v>
          </cell>
          <cell r="V14">
            <v>1146.9381313131314</v>
          </cell>
          <cell r="W14">
            <v>4.5877525252525251</v>
          </cell>
        </row>
        <row r="15">
          <cell r="C15" t="str">
            <v>Veículo Leve tipo Pick-Up</v>
          </cell>
          <cell r="D15">
            <v>30000</v>
          </cell>
          <cell r="E15">
            <v>0</v>
          </cell>
          <cell r="F15">
            <v>0</v>
          </cell>
          <cell r="G15">
            <v>2</v>
          </cell>
          <cell r="H15">
            <v>5</v>
          </cell>
          <cell r="I15">
            <v>25000</v>
          </cell>
          <cell r="J15">
            <v>10</v>
          </cell>
          <cell r="K15" t="str">
            <v>Gasolina</v>
          </cell>
          <cell r="L15">
            <v>2.7</v>
          </cell>
          <cell r="M15">
            <v>0.05</v>
          </cell>
          <cell r="N15">
            <v>0.06</v>
          </cell>
          <cell r="O15">
            <v>3000</v>
          </cell>
          <cell r="Q15">
            <v>6750</v>
          </cell>
          <cell r="R15">
            <v>1500</v>
          </cell>
          <cell r="S15">
            <v>1800</v>
          </cell>
          <cell r="T15">
            <v>7815.909090909091</v>
          </cell>
          <cell r="U15">
            <v>17865.909090909092</v>
          </cell>
          <cell r="V15">
            <v>1488.8257575757577</v>
          </cell>
          <cell r="W15">
            <v>5.955303030303031</v>
          </cell>
        </row>
        <row r="16">
          <cell r="C16" t="str">
            <v>Veículo Médio tipo Pick-Up</v>
          </cell>
          <cell r="D16">
            <v>45000</v>
          </cell>
          <cell r="E16">
            <v>0</v>
          </cell>
          <cell r="F16">
            <v>0</v>
          </cell>
          <cell r="G16">
            <v>2</v>
          </cell>
          <cell r="H16">
            <v>8</v>
          </cell>
          <cell r="I16">
            <v>20000</v>
          </cell>
          <cell r="J16">
            <v>8</v>
          </cell>
          <cell r="K16" t="str">
            <v>Diesel</v>
          </cell>
          <cell r="L16">
            <v>1.9</v>
          </cell>
          <cell r="M16">
            <v>0.1</v>
          </cell>
          <cell r="N16">
            <v>0.06</v>
          </cell>
          <cell r="O16">
            <v>3000</v>
          </cell>
          <cell r="Q16">
            <v>4750</v>
          </cell>
          <cell r="R16">
            <v>4500</v>
          </cell>
          <cell r="S16">
            <v>2700</v>
          </cell>
          <cell r="T16">
            <v>8348.863636363636</v>
          </cell>
          <cell r="U16">
            <v>20298.863636363636</v>
          </cell>
          <cell r="V16">
            <v>1691.5719696969697</v>
          </cell>
          <cell r="W16">
            <v>6.7662878787878791</v>
          </cell>
        </row>
        <row r="17">
          <cell r="C17" t="str">
            <v>Caminhão Leve</v>
          </cell>
          <cell r="D17">
            <v>100000</v>
          </cell>
          <cell r="E17">
            <v>0</v>
          </cell>
          <cell r="F17">
            <v>0</v>
          </cell>
          <cell r="G17">
            <v>3</v>
          </cell>
          <cell r="H17">
            <v>10</v>
          </cell>
          <cell r="I17">
            <v>15000</v>
          </cell>
          <cell r="J17">
            <v>6</v>
          </cell>
          <cell r="K17" t="str">
            <v>Diesel</v>
          </cell>
          <cell r="L17">
            <v>1.9</v>
          </cell>
          <cell r="M17">
            <v>0.1</v>
          </cell>
          <cell r="N17">
            <v>0.06</v>
          </cell>
          <cell r="O17">
            <v>3000</v>
          </cell>
          <cell r="Q17">
            <v>4750</v>
          </cell>
          <cell r="R17">
            <v>10000</v>
          </cell>
          <cell r="S17">
            <v>6000</v>
          </cell>
          <cell r="T17">
            <v>16053.030303030304</v>
          </cell>
          <cell r="U17">
            <v>36803.030303030304</v>
          </cell>
          <cell r="V17">
            <v>3066.9191919191921</v>
          </cell>
          <cell r="W17">
            <v>12.267676767676768</v>
          </cell>
        </row>
        <row r="18">
          <cell r="C18" t="str">
            <v>Caminhão Pesado</v>
          </cell>
          <cell r="D18">
            <v>150000</v>
          </cell>
          <cell r="E18">
            <v>0</v>
          </cell>
          <cell r="F18">
            <v>0</v>
          </cell>
          <cell r="G18">
            <v>3</v>
          </cell>
          <cell r="H18">
            <v>15</v>
          </cell>
          <cell r="I18">
            <v>45000</v>
          </cell>
          <cell r="J18">
            <v>4</v>
          </cell>
          <cell r="K18" t="str">
            <v>Diesel</v>
          </cell>
          <cell r="L18">
            <v>1.9</v>
          </cell>
          <cell r="M18">
            <v>0.1</v>
          </cell>
          <cell r="N18">
            <v>0.06</v>
          </cell>
          <cell r="O18">
            <v>3000</v>
          </cell>
          <cell r="Q18">
            <v>21375</v>
          </cell>
          <cell r="R18">
            <v>15000</v>
          </cell>
          <cell r="S18">
            <v>9000</v>
          </cell>
          <cell r="T18">
            <v>19079.545454545456</v>
          </cell>
          <cell r="U18">
            <v>64454.545454545456</v>
          </cell>
          <cell r="V18">
            <v>5371.212121212121</v>
          </cell>
          <cell r="W18">
            <v>21.484848484848484</v>
          </cell>
        </row>
        <row r="19">
          <cell r="C19" t="str">
            <v>Utilitário - Van</v>
          </cell>
          <cell r="D19">
            <v>45000</v>
          </cell>
          <cell r="E19">
            <v>0</v>
          </cell>
          <cell r="F19">
            <v>0</v>
          </cell>
          <cell r="G19">
            <v>10</v>
          </cell>
          <cell r="H19">
            <v>5</v>
          </cell>
          <cell r="I19">
            <v>15000</v>
          </cell>
          <cell r="J19">
            <v>10</v>
          </cell>
          <cell r="K19" t="str">
            <v>Gasolina</v>
          </cell>
          <cell r="L19">
            <v>2.7</v>
          </cell>
          <cell r="M19">
            <v>0.05</v>
          </cell>
          <cell r="N19">
            <v>0.06</v>
          </cell>
          <cell r="O19">
            <v>1875</v>
          </cell>
          <cell r="Q19">
            <v>4050.0000000000005</v>
          </cell>
          <cell r="R19">
            <v>2250</v>
          </cell>
          <cell r="S19">
            <v>2700</v>
          </cell>
          <cell r="T19">
            <v>11723.863636363636</v>
          </cell>
          <cell r="U19">
            <v>20723.863636363636</v>
          </cell>
          <cell r="V19">
            <v>1726.9886363636363</v>
          </cell>
          <cell r="W19">
            <v>11.052727272727273</v>
          </cell>
        </row>
        <row r="20">
          <cell r="C20" t="str">
            <v>Motocicleta</v>
          </cell>
          <cell r="D20">
            <v>6000</v>
          </cell>
          <cell r="E20">
            <v>0</v>
          </cell>
          <cell r="F20">
            <v>0</v>
          </cell>
          <cell r="G20">
            <v>1</v>
          </cell>
          <cell r="H20">
            <v>5</v>
          </cell>
          <cell r="I20">
            <v>30000</v>
          </cell>
          <cell r="J20">
            <v>40</v>
          </cell>
          <cell r="K20" t="str">
            <v>Gasolina</v>
          </cell>
          <cell r="L20">
            <v>2.7</v>
          </cell>
          <cell r="M20">
            <v>0.05</v>
          </cell>
          <cell r="N20">
            <v>0.06</v>
          </cell>
          <cell r="O20">
            <v>1875</v>
          </cell>
          <cell r="Q20">
            <v>2025.0000000000002</v>
          </cell>
          <cell r="R20">
            <v>300</v>
          </cell>
          <cell r="S20">
            <v>360</v>
          </cell>
          <cell r="T20">
            <v>1563.1818181818182</v>
          </cell>
          <cell r="U20">
            <v>4248.181818181818</v>
          </cell>
          <cell r="V20">
            <v>354.0151515151515</v>
          </cell>
          <cell r="W20">
            <v>2.2656969696969695</v>
          </cell>
        </row>
        <row r="21">
          <cell r="C21" t="str">
            <v>Lancha</v>
          </cell>
          <cell r="D21">
            <v>10000</v>
          </cell>
          <cell r="E21">
            <v>0</v>
          </cell>
          <cell r="F21">
            <v>0</v>
          </cell>
          <cell r="G21">
            <v>4</v>
          </cell>
          <cell r="H21">
            <v>10</v>
          </cell>
          <cell r="I21">
            <v>1200</v>
          </cell>
          <cell r="J21">
            <v>10</v>
          </cell>
          <cell r="K21" t="str">
            <v>Gasolina</v>
          </cell>
          <cell r="L21">
            <v>2.7</v>
          </cell>
          <cell r="M21">
            <v>0.05</v>
          </cell>
          <cell r="N21">
            <v>0.06</v>
          </cell>
          <cell r="O21">
            <v>3000</v>
          </cell>
          <cell r="Q21">
            <v>324</v>
          </cell>
          <cell r="R21">
            <v>500</v>
          </cell>
          <cell r="S21">
            <v>600</v>
          </cell>
          <cell r="T21">
            <v>1605.3030303030305</v>
          </cell>
          <cell r="U21">
            <v>3029.3030303030305</v>
          </cell>
          <cell r="V21">
            <v>252.4419191919192</v>
          </cell>
          <cell r="W21">
            <v>1.0097676767676769</v>
          </cell>
        </row>
        <row r="22">
          <cell r="C22" t="str">
            <v>Caminhão Basculante</v>
          </cell>
          <cell r="D22">
            <v>150000</v>
          </cell>
          <cell r="E22">
            <v>15000</v>
          </cell>
          <cell r="F22">
            <v>0</v>
          </cell>
          <cell r="G22">
            <v>3</v>
          </cell>
          <cell r="H22">
            <v>15</v>
          </cell>
          <cell r="I22">
            <v>45000</v>
          </cell>
          <cell r="J22">
            <v>4</v>
          </cell>
          <cell r="K22" t="str">
            <v>Diesel</v>
          </cell>
          <cell r="L22">
            <v>1.9</v>
          </cell>
          <cell r="M22">
            <v>0.1</v>
          </cell>
          <cell r="N22">
            <v>0.06</v>
          </cell>
          <cell r="O22">
            <v>3000</v>
          </cell>
          <cell r="Q22">
            <v>21375</v>
          </cell>
          <cell r="R22">
            <v>16500</v>
          </cell>
          <cell r="S22">
            <v>9000</v>
          </cell>
          <cell r="T22">
            <v>20987.5</v>
          </cell>
          <cell r="U22">
            <v>67862.5</v>
          </cell>
          <cell r="V22">
            <v>5655.208333333333</v>
          </cell>
          <cell r="W22">
            <v>22.620833333333334</v>
          </cell>
        </row>
        <row r="23">
          <cell r="C23" t="str">
            <v>Caminhão Munck</v>
          </cell>
          <cell r="D23">
            <v>470000</v>
          </cell>
          <cell r="E23">
            <v>0</v>
          </cell>
          <cell r="F23">
            <v>0</v>
          </cell>
          <cell r="G23">
            <v>3</v>
          </cell>
          <cell r="H23">
            <v>15</v>
          </cell>
          <cell r="I23">
            <v>45000</v>
          </cell>
          <cell r="J23">
            <v>4</v>
          </cell>
          <cell r="K23" t="str">
            <v>Diesel</v>
          </cell>
          <cell r="L23">
            <v>1.9</v>
          </cell>
          <cell r="M23">
            <v>0.1</v>
          </cell>
          <cell r="N23">
            <v>0.06</v>
          </cell>
          <cell r="O23">
            <v>3000</v>
          </cell>
          <cell r="Q23">
            <v>21375</v>
          </cell>
          <cell r="R23">
            <v>47000</v>
          </cell>
          <cell r="S23">
            <v>28200</v>
          </cell>
          <cell r="T23">
            <v>59782.57575757576</v>
          </cell>
          <cell r="U23">
            <v>156357.57575757575</v>
          </cell>
          <cell r="V23">
            <v>13029.797979797979</v>
          </cell>
          <cell r="W23">
            <v>52.119191919191913</v>
          </cell>
        </row>
        <row r="24">
          <cell r="C24" t="str">
            <v>Caminhão Pipa</v>
          </cell>
          <cell r="D24">
            <v>150000</v>
          </cell>
          <cell r="E24">
            <v>320000</v>
          </cell>
          <cell r="F24">
            <v>0</v>
          </cell>
          <cell r="G24">
            <v>3</v>
          </cell>
          <cell r="H24">
            <v>15</v>
          </cell>
          <cell r="I24">
            <v>45000</v>
          </cell>
          <cell r="J24">
            <v>4</v>
          </cell>
          <cell r="K24" t="str">
            <v>Diesel</v>
          </cell>
          <cell r="L24">
            <v>1.9</v>
          </cell>
          <cell r="M24">
            <v>0.1</v>
          </cell>
          <cell r="N24">
            <v>0.06</v>
          </cell>
          <cell r="O24">
            <v>3000</v>
          </cell>
          <cell r="Q24">
            <v>21375</v>
          </cell>
          <cell r="R24">
            <v>47000</v>
          </cell>
          <cell r="S24">
            <v>9000</v>
          </cell>
          <cell r="T24">
            <v>59782.57575757576</v>
          </cell>
          <cell r="U24">
            <v>137157.57575757575</v>
          </cell>
          <cell r="V24">
            <v>11429.797979797979</v>
          </cell>
          <cell r="W24">
            <v>45.719191919191914</v>
          </cell>
        </row>
        <row r="25">
          <cell r="E25">
            <v>0</v>
          </cell>
          <cell r="F25">
            <v>0</v>
          </cell>
          <cell r="L25">
            <v>0</v>
          </cell>
          <cell r="O25">
            <v>3000</v>
          </cell>
          <cell r="Q25">
            <v>0</v>
          </cell>
          <cell r="R25">
            <v>0</v>
          </cell>
          <cell r="S25">
            <v>0</v>
          </cell>
          <cell r="T25">
            <v>0</v>
          </cell>
          <cell r="U25">
            <v>0</v>
          </cell>
          <cell r="V25">
            <v>0</v>
          </cell>
          <cell r="W25">
            <v>0</v>
          </cell>
        </row>
        <row r="26">
          <cell r="E26">
            <v>0</v>
          </cell>
          <cell r="F26">
            <v>0</v>
          </cell>
          <cell r="L26">
            <v>0</v>
          </cell>
          <cell r="O26">
            <v>3000</v>
          </cell>
          <cell r="Q26">
            <v>0</v>
          </cell>
          <cell r="R26">
            <v>0</v>
          </cell>
          <cell r="S26">
            <v>0</v>
          </cell>
          <cell r="T26">
            <v>0</v>
          </cell>
          <cell r="U26">
            <v>0</v>
          </cell>
          <cell r="V26">
            <v>0</v>
          </cell>
          <cell r="W26">
            <v>0</v>
          </cell>
        </row>
        <row r="27">
          <cell r="E27">
            <v>0</v>
          </cell>
          <cell r="F27">
            <v>0</v>
          </cell>
          <cell r="L27">
            <v>0</v>
          </cell>
          <cell r="O27">
            <v>3000</v>
          </cell>
          <cell r="Q27">
            <v>0</v>
          </cell>
          <cell r="R27">
            <v>0</v>
          </cell>
          <cell r="S27">
            <v>0</v>
          </cell>
          <cell r="T27">
            <v>0</v>
          </cell>
          <cell r="U27">
            <v>0</v>
          </cell>
          <cell r="V27">
            <v>0</v>
          </cell>
          <cell r="W27">
            <v>0</v>
          </cell>
        </row>
        <row r="33">
          <cell r="C33" t="str">
            <v>Compressor</v>
          </cell>
          <cell r="D33">
            <v>8500</v>
          </cell>
          <cell r="E33">
            <v>0</v>
          </cell>
          <cell r="F33">
            <v>0</v>
          </cell>
          <cell r="H33">
            <v>15</v>
          </cell>
          <cell r="L33">
            <v>0</v>
          </cell>
          <cell r="M33">
            <v>0.03</v>
          </cell>
          <cell r="N33">
            <v>0.01</v>
          </cell>
          <cell r="O33">
            <v>2760</v>
          </cell>
          <cell r="Q33">
            <v>0</v>
          </cell>
          <cell r="R33">
            <v>255</v>
          </cell>
          <cell r="S33">
            <v>85</v>
          </cell>
          <cell r="T33">
            <v>1081.1742424242425</v>
          </cell>
          <cell r="U33">
            <v>1421.1742424242425</v>
          </cell>
          <cell r="V33">
            <v>118.43118686868688</v>
          </cell>
          <cell r="W33">
            <v>0.51491820377689945</v>
          </cell>
        </row>
        <row r="34">
          <cell r="C34" t="str">
            <v>Empilhadeira</v>
          </cell>
          <cell r="D34">
            <v>44000</v>
          </cell>
          <cell r="E34">
            <v>0</v>
          </cell>
          <cell r="F34">
            <v>0</v>
          </cell>
          <cell r="H34">
            <v>15</v>
          </cell>
          <cell r="L34">
            <v>0</v>
          </cell>
          <cell r="M34">
            <v>0.03</v>
          </cell>
          <cell r="N34">
            <v>0.01</v>
          </cell>
          <cell r="O34">
            <v>2760</v>
          </cell>
          <cell r="Q34">
            <v>0</v>
          </cell>
          <cell r="R34">
            <v>1320</v>
          </cell>
          <cell r="S34">
            <v>440</v>
          </cell>
          <cell r="T34">
            <v>5596.666666666667</v>
          </cell>
          <cell r="U34">
            <v>7356.666666666667</v>
          </cell>
          <cell r="V34">
            <v>613.05555555555554</v>
          </cell>
          <cell r="W34">
            <v>2.6654589371980677</v>
          </cell>
        </row>
        <row r="35">
          <cell r="C35" t="str">
            <v>Equipamento de Jato - Desobstrutor</v>
          </cell>
          <cell r="D35">
            <v>400000</v>
          </cell>
          <cell r="E35">
            <v>0</v>
          </cell>
          <cell r="F35">
            <v>0</v>
          </cell>
          <cell r="H35">
            <v>15</v>
          </cell>
          <cell r="L35">
            <v>0</v>
          </cell>
          <cell r="M35">
            <v>0.03</v>
          </cell>
          <cell r="N35">
            <v>0.01</v>
          </cell>
          <cell r="O35">
            <v>2760</v>
          </cell>
          <cell r="Q35">
            <v>0</v>
          </cell>
          <cell r="R35">
            <v>12000</v>
          </cell>
          <cell r="S35">
            <v>4000</v>
          </cell>
          <cell r="T35">
            <v>50878.787878787887</v>
          </cell>
          <cell r="U35">
            <v>66878.787878787887</v>
          </cell>
          <cell r="V35">
            <v>5573.2323232323242</v>
          </cell>
          <cell r="W35">
            <v>24.231444883618799</v>
          </cell>
        </row>
        <row r="36">
          <cell r="C36" t="str">
            <v>Escavadeira</v>
          </cell>
          <cell r="D36">
            <v>475000</v>
          </cell>
          <cell r="E36">
            <v>0</v>
          </cell>
          <cell r="F36">
            <v>0</v>
          </cell>
          <cell r="H36">
            <v>15</v>
          </cell>
          <cell r="L36">
            <v>0</v>
          </cell>
          <cell r="M36">
            <v>0.03</v>
          </cell>
          <cell r="N36">
            <v>0.01</v>
          </cell>
          <cell r="O36">
            <v>2760</v>
          </cell>
          <cell r="Q36">
            <v>0</v>
          </cell>
          <cell r="R36">
            <v>14250</v>
          </cell>
          <cell r="S36">
            <v>4750</v>
          </cell>
          <cell r="T36">
            <v>60418.560606060608</v>
          </cell>
          <cell r="U36">
            <v>79418.560606060608</v>
          </cell>
          <cell r="V36">
            <v>6618.2133838383843</v>
          </cell>
          <cell r="W36">
            <v>28.774840799297323</v>
          </cell>
        </row>
        <row r="37">
          <cell r="C37" t="str">
            <v>Guindaste</v>
          </cell>
          <cell r="D37">
            <v>850000</v>
          </cell>
          <cell r="E37">
            <v>0</v>
          </cell>
          <cell r="F37">
            <v>0</v>
          </cell>
          <cell r="H37">
            <v>15</v>
          </cell>
          <cell r="L37">
            <v>0</v>
          </cell>
          <cell r="M37">
            <v>0.03</v>
          </cell>
          <cell r="N37">
            <v>0.01</v>
          </cell>
          <cell r="O37">
            <v>2760</v>
          </cell>
          <cell r="Q37">
            <v>0</v>
          </cell>
          <cell r="R37">
            <v>25500</v>
          </cell>
          <cell r="S37">
            <v>8500</v>
          </cell>
          <cell r="T37">
            <v>108117.42424242425</v>
          </cell>
          <cell r="U37">
            <v>142117.42424242425</v>
          </cell>
          <cell r="V37">
            <v>11843.118686868687</v>
          </cell>
          <cell r="W37">
            <v>51.491820377689947</v>
          </cell>
        </row>
        <row r="38">
          <cell r="C38" t="str">
            <v>Maquina de Cortar Asfalto</v>
          </cell>
          <cell r="D38">
            <v>165000</v>
          </cell>
          <cell r="E38">
            <v>0</v>
          </cell>
          <cell r="F38">
            <v>0</v>
          </cell>
          <cell r="H38">
            <v>15</v>
          </cell>
          <cell r="L38">
            <v>0</v>
          </cell>
          <cell r="M38">
            <v>0.03</v>
          </cell>
          <cell r="N38">
            <v>0.01</v>
          </cell>
          <cell r="O38">
            <v>2760</v>
          </cell>
          <cell r="Q38">
            <v>0</v>
          </cell>
          <cell r="R38">
            <v>4950</v>
          </cell>
          <cell r="S38">
            <v>1650</v>
          </cell>
          <cell r="T38">
            <v>20987.5</v>
          </cell>
          <cell r="U38">
            <v>27587.5</v>
          </cell>
          <cell r="V38">
            <v>2298.9583333333335</v>
          </cell>
          <cell r="W38">
            <v>9.9954710144927539</v>
          </cell>
        </row>
        <row r="39">
          <cell r="C39" t="str">
            <v>Motoniveladora</v>
          </cell>
          <cell r="D39">
            <v>330000</v>
          </cell>
          <cell r="E39">
            <v>0</v>
          </cell>
          <cell r="F39">
            <v>0</v>
          </cell>
          <cell r="H39">
            <v>15</v>
          </cell>
          <cell r="L39">
            <v>0</v>
          </cell>
          <cell r="M39">
            <v>0.03</v>
          </cell>
          <cell r="N39">
            <v>0.01</v>
          </cell>
          <cell r="O39">
            <v>2760</v>
          </cell>
          <cell r="Q39">
            <v>0</v>
          </cell>
          <cell r="R39">
            <v>9900</v>
          </cell>
          <cell r="S39">
            <v>3300</v>
          </cell>
          <cell r="T39">
            <v>41975</v>
          </cell>
          <cell r="U39">
            <v>55175</v>
          </cell>
          <cell r="V39">
            <v>4597.916666666667</v>
          </cell>
          <cell r="W39">
            <v>19.990942028985508</v>
          </cell>
        </row>
        <row r="40">
          <cell r="C40" t="str">
            <v>Motor Estacionario</v>
          </cell>
          <cell r="D40">
            <v>600</v>
          </cell>
          <cell r="E40">
            <v>0</v>
          </cell>
          <cell r="F40">
            <v>0</v>
          </cell>
          <cell r="H40">
            <v>15</v>
          </cell>
          <cell r="L40">
            <v>0</v>
          </cell>
          <cell r="M40">
            <v>0.03</v>
          </cell>
          <cell r="N40">
            <v>0.01</v>
          </cell>
          <cell r="O40">
            <v>2760</v>
          </cell>
          <cell r="Q40">
            <v>0</v>
          </cell>
          <cell r="R40">
            <v>18</v>
          </cell>
          <cell r="S40">
            <v>6</v>
          </cell>
          <cell r="T40">
            <v>76.318181818181813</v>
          </cell>
          <cell r="U40">
            <v>100.31818181818181</v>
          </cell>
          <cell r="V40">
            <v>8.3598484848484844</v>
          </cell>
          <cell r="W40">
            <v>3.6347167325428191E-2</v>
          </cell>
        </row>
        <row r="41">
          <cell r="C41" t="str">
            <v>Plataforma</v>
          </cell>
          <cell r="E41">
            <v>0</v>
          </cell>
          <cell r="F41">
            <v>0</v>
          </cell>
          <cell r="L41">
            <v>0</v>
          </cell>
          <cell r="M41">
            <v>0.03</v>
          </cell>
          <cell r="N41">
            <v>0.01</v>
          </cell>
          <cell r="O41">
            <v>2760</v>
          </cell>
          <cell r="Q41">
            <v>0</v>
          </cell>
          <cell r="R41">
            <v>0</v>
          </cell>
          <cell r="S41">
            <v>0</v>
          </cell>
          <cell r="T41">
            <v>0</v>
          </cell>
          <cell r="U41">
            <v>0</v>
          </cell>
          <cell r="V41">
            <v>0</v>
          </cell>
          <cell r="W41">
            <v>0</v>
          </cell>
        </row>
        <row r="42">
          <cell r="C42" t="str">
            <v>Retroescavadeira</v>
          </cell>
          <cell r="D42">
            <v>310000</v>
          </cell>
          <cell r="E42">
            <v>0</v>
          </cell>
          <cell r="F42">
            <v>0</v>
          </cell>
          <cell r="H42">
            <v>15</v>
          </cell>
          <cell r="L42">
            <v>0</v>
          </cell>
          <cell r="M42">
            <v>0.03</v>
          </cell>
          <cell r="N42">
            <v>0.01</v>
          </cell>
          <cell r="O42">
            <v>2760</v>
          </cell>
          <cell r="Q42">
            <v>0</v>
          </cell>
          <cell r="R42">
            <v>9300</v>
          </cell>
          <cell r="S42">
            <v>3100</v>
          </cell>
          <cell r="T42">
            <v>39431.060606060608</v>
          </cell>
          <cell r="U42">
            <v>51831.060606060608</v>
          </cell>
          <cell r="V42">
            <v>4319.2550505050503</v>
          </cell>
          <cell r="W42">
            <v>18.779369784804569</v>
          </cell>
        </row>
        <row r="43">
          <cell r="C43" t="str">
            <v>Trator</v>
          </cell>
          <cell r="D43">
            <v>100000</v>
          </cell>
          <cell r="E43">
            <v>0</v>
          </cell>
          <cell r="F43">
            <v>0</v>
          </cell>
          <cell r="H43">
            <v>15</v>
          </cell>
          <cell r="L43">
            <v>0</v>
          </cell>
          <cell r="M43">
            <v>0.03</v>
          </cell>
          <cell r="N43">
            <v>0.01</v>
          </cell>
          <cell r="O43">
            <v>2760</v>
          </cell>
          <cell r="Q43">
            <v>0</v>
          </cell>
          <cell r="R43">
            <v>3000</v>
          </cell>
          <cell r="S43">
            <v>1000</v>
          </cell>
          <cell r="T43">
            <v>12719.696969696972</v>
          </cell>
          <cell r="U43">
            <v>16719.696969696972</v>
          </cell>
          <cell r="V43">
            <v>1393.3080808080811</v>
          </cell>
          <cell r="W43">
            <v>6.0578612209046998</v>
          </cell>
        </row>
        <row r="44">
          <cell r="C44" t="str">
            <v>Trator Esteira</v>
          </cell>
          <cell r="D44">
            <v>300000</v>
          </cell>
          <cell r="E44">
            <v>0</v>
          </cell>
          <cell r="F44">
            <v>0</v>
          </cell>
          <cell r="H44">
            <v>15</v>
          </cell>
          <cell r="L44">
            <v>0</v>
          </cell>
          <cell r="M44">
            <v>0.03</v>
          </cell>
          <cell r="N44">
            <v>0.01</v>
          </cell>
          <cell r="O44">
            <v>2760</v>
          </cell>
          <cell r="Q44">
            <v>0</v>
          </cell>
          <cell r="R44">
            <v>9000</v>
          </cell>
          <cell r="S44">
            <v>3000</v>
          </cell>
          <cell r="T44">
            <v>38159.090909090912</v>
          </cell>
          <cell r="U44">
            <v>50159.090909090912</v>
          </cell>
          <cell r="V44">
            <v>4179.9242424242429</v>
          </cell>
          <cell r="W44">
            <v>18.173583662714098</v>
          </cell>
        </row>
        <row r="45">
          <cell r="C45" t="str">
            <v>Trator Roçadeira</v>
          </cell>
          <cell r="D45">
            <v>190000</v>
          </cell>
          <cell r="E45">
            <v>0</v>
          </cell>
          <cell r="F45">
            <v>0</v>
          </cell>
          <cell r="H45">
            <v>15</v>
          </cell>
          <cell r="L45">
            <v>0</v>
          </cell>
          <cell r="M45">
            <v>0.03</v>
          </cell>
          <cell r="N45">
            <v>0.01</v>
          </cell>
          <cell r="O45">
            <v>2760</v>
          </cell>
          <cell r="Q45">
            <v>0</v>
          </cell>
          <cell r="R45">
            <v>5700</v>
          </cell>
          <cell r="S45">
            <v>1900</v>
          </cell>
          <cell r="T45">
            <v>24167.424242424244</v>
          </cell>
          <cell r="U45">
            <v>31767.424242424244</v>
          </cell>
          <cell r="V45">
            <v>2647.2853535353538</v>
          </cell>
          <cell r="W45">
            <v>11.509936319718928</v>
          </cell>
        </row>
        <row r="46">
          <cell r="C46" t="str">
            <v>Caminhão Limpa Fossa</v>
          </cell>
          <cell r="D46">
            <v>50000</v>
          </cell>
          <cell r="E46">
            <v>0</v>
          </cell>
          <cell r="F46">
            <v>0</v>
          </cell>
          <cell r="H46">
            <v>15</v>
          </cell>
          <cell r="L46">
            <v>0</v>
          </cell>
          <cell r="M46">
            <v>0.03</v>
          </cell>
          <cell r="N46">
            <v>0.01</v>
          </cell>
          <cell r="O46">
            <v>2760</v>
          </cell>
          <cell r="Q46">
            <v>0</v>
          </cell>
          <cell r="R46">
            <v>1500</v>
          </cell>
          <cell r="S46">
            <v>500</v>
          </cell>
          <cell r="T46">
            <v>6359.8484848484859</v>
          </cell>
          <cell r="U46">
            <v>8359.8484848484859</v>
          </cell>
          <cell r="V46">
            <v>696.65404040404053</v>
          </cell>
          <cell r="W46">
            <v>3.0289306104523499</v>
          </cell>
        </row>
        <row r="47">
          <cell r="E47">
            <v>0</v>
          </cell>
          <cell r="F47">
            <v>0</v>
          </cell>
          <cell r="L47">
            <v>0</v>
          </cell>
          <cell r="M47">
            <v>0.03</v>
          </cell>
          <cell r="N47">
            <v>0.01</v>
          </cell>
          <cell r="O47">
            <v>2760</v>
          </cell>
          <cell r="Q47">
            <v>0</v>
          </cell>
          <cell r="R47">
            <v>0</v>
          </cell>
          <cell r="S47">
            <v>0</v>
          </cell>
          <cell r="T47">
            <v>0</v>
          </cell>
          <cell r="U47">
            <v>0</v>
          </cell>
          <cell r="V47">
            <v>0</v>
          </cell>
          <cell r="W47">
            <v>0</v>
          </cell>
        </row>
      </sheetData>
      <sheetData sheetId="5">
        <row r="457">
          <cell r="D457">
            <v>10</v>
          </cell>
        </row>
        <row r="458">
          <cell r="D458">
            <v>0.95</v>
          </cell>
        </row>
      </sheetData>
      <sheetData sheetId="6">
        <row r="9">
          <cell r="D9">
            <v>16.821443846765277</v>
          </cell>
          <cell r="I9">
            <v>12.5</v>
          </cell>
        </row>
        <row r="10">
          <cell r="D10">
            <v>9.387105</v>
          </cell>
          <cell r="I10">
            <v>9.387105</v>
          </cell>
        </row>
        <row r="11">
          <cell r="D11">
            <v>9.387105</v>
          </cell>
        </row>
        <row r="12">
          <cell r="D12">
            <v>9.387105</v>
          </cell>
          <cell r="I12">
            <v>10</v>
          </cell>
        </row>
        <row r="13">
          <cell r="D13">
            <v>10</v>
          </cell>
          <cell r="I13">
            <v>10</v>
          </cell>
        </row>
        <row r="14">
          <cell r="D14">
            <v>5</v>
          </cell>
        </row>
        <row r="15">
          <cell r="D15">
            <v>2.4488099999999999</v>
          </cell>
          <cell r="I15">
            <v>10</v>
          </cell>
        </row>
        <row r="16">
          <cell r="D16">
            <v>6.4135499999999999</v>
          </cell>
          <cell r="I16">
            <v>10</v>
          </cell>
        </row>
        <row r="17">
          <cell r="D17">
            <v>147.25972741978148</v>
          </cell>
        </row>
        <row r="18">
          <cell r="D18">
            <v>68.109899858415858</v>
          </cell>
        </row>
        <row r="19">
          <cell r="D19">
            <v>33.765986229574423</v>
          </cell>
        </row>
        <row r="20">
          <cell r="D20">
            <v>0.05</v>
          </cell>
        </row>
        <row r="21">
          <cell r="D21">
            <v>50</v>
          </cell>
        </row>
        <row r="22">
          <cell r="D22">
            <v>100</v>
          </cell>
        </row>
        <row r="23">
          <cell r="D23">
            <v>6</v>
          </cell>
        </row>
        <row r="33">
          <cell r="E33">
            <v>8</v>
          </cell>
        </row>
        <row r="34">
          <cell r="E34">
            <v>8</v>
          </cell>
        </row>
        <row r="35">
          <cell r="E35">
            <v>5</v>
          </cell>
        </row>
        <row r="36">
          <cell r="E36">
            <v>5</v>
          </cell>
        </row>
        <row r="43">
          <cell r="D43">
            <v>1500</v>
          </cell>
        </row>
        <row r="44">
          <cell r="D44">
            <v>2500</v>
          </cell>
        </row>
      </sheetData>
      <sheetData sheetId="7">
        <row r="9">
          <cell r="C9" t="str">
            <v>Poli Aniônico (Agua)</v>
          </cell>
          <cell r="D9">
            <v>15.89</v>
          </cell>
        </row>
        <row r="10">
          <cell r="C10" t="str">
            <v>Carvão Ativado em Pó</v>
          </cell>
          <cell r="D10">
            <v>0</v>
          </cell>
        </row>
        <row r="11">
          <cell r="C11" t="str">
            <v>Permanganato de Potássio</v>
          </cell>
          <cell r="D11">
            <v>0</v>
          </cell>
        </row>
        <row r="12">
          <cell r="C12" t="str">
            <v>Cal Hidratada (Agua)</v>
          </cell>
          <cell r="D12">
            <v>0.30399999999999999</v>
          </cell>
        </row>
        <row r="13">
          <cell r="C13" t="str">
            <v>Cal Virgem (Agua)</v>
          </cell>
          <cell r="D13">
            <v>0.28100000000000003</v>
          </cell>
        </row>
        <row r="14">
          <cell r="C14" t="str">
            <v>Ácido Fluossilícico</v>
          </cell>
          <cell r="D14">
            <v>0.58099999999999996</v>
          </cell>
        </row>
        <row r="15">
          <cell r="C15" t="str">
            <v>Cloro Gasoso (ETA)</v>
          </cell>
          <cell r="D15">
            <v>3.93</v>
          </cell>
        </row>
        <row r="16">
          <cell r="C16" t="str">
            <v>Cloro Gasoso (UTS)</v>
          </cell>
          <cell r="D16">
            <v>4.5</v>
          </cell>
        </row>
        <row r="17">
          <cell r="C17" t="str">
            <v>Hipoclorito de Sódio</v>
          </cell>
          <cell r="D17">
            <v>1.77</v>
          </cell>
        </row>
        <row r="18">
          <cell r="C18" t="str">
            <v>Policloreto de Alumínio - PAC (Coagulante)</v>
          </cell>
          <cell r="D18">
            <v>1.399</v>
          </cell>
        </row>
        <row r="19">
          <cell r="C19" t="str">
            <v>Sulfato Al Liq. (Coagulante)</v>
          </cell>
          <cell r="D19">
            <v>0.51600000000000001</v>
          </cell>
        </row>
        <row r="20">
          <cell r="C20" t="str">
            <v>Carbonato de Sodio</v>
          </cell>
          <cell r="D20">
            <v>2.35</v>
          </cell>
        </row>
        <row r="21">
          <cell r="C21" t="str">
            <v>Fluorssilicato de Sódio</v>
          </cell>
          <cell r="D21">
            <v>2.4300000000000002</v>
          </cell>
        </row>
        <row r="22">
          <cell r="C22" t="str">
            <v>Tricloro</v>
          </cell>
          <cell r="D22">
            <v>12.6</v>
          </cell>
        </row>
        <row r="23">
          <cell r="C23" t="str">
            <v>Poli Prensa (Lodo)</v>
          </cell>
          <cell r="D23">
            <v>11.99</v>
          </cell>
        </row>
        <row r="24">
          <cell r="C24" t="str">
            <v>Poli Centrífuga (Lodo)</v>
          </cell>
          <cell r="D24">
            <v>11.74</v>
          </cell>
        </row>
        <row r="25">
          <cell r="C25" t="str">
            <v>Poli Aniônico (Esgoto)</v>
          </cell>
          <cell r="D25">
            <v>10.8</v>
          </cell>
        </row>
        <row r="26">
          <cell r="C26" t="str">
            <v>Sulfato Al (Coagulante)</v>
          </cell>
          <cell r="D26">
            <v>0.41</v>
          </cell>
        </row>
        <row r="27">
          <cell r="C27" t="str">
            <v>Cloreto Férrico (Coagulante)</v>
          </cell>
          <cell r="D27">
            <v>0.72</v>
          </cell>
        </row>
        <row r="28">
          <cell r="C28" t="str">
            <v>Cal (Esgoto)</v>
          </cell>
          <cell r="D28">
            <v>0.21</v>
          </cell>
        </row>
        <row r="29">
          <cell r="C29" t="str">
            <v>Clorocal</v>
          </cell>
          <cell r="D29">
            <v>2.95</v>
          </cell>
        </row>
        <row r="32">
          <cell r="D32">
            <v>15.1</v>
          </cell>
        </row>
        <row r="33">
          <cell r="D33">
            <v>0.2</v>
          </cell>
        </row>
        <row r="34">
          <cell r="D34">
            <v>15</v>
          </cell>
        </row>
        <row r="86">
          <cell r="J86">
            <v>0.49689394445730495</v>
          </cell>
        </row>
      </sheetData>
      <sheetData sheetId="8">
        <row r="8">
          <cell r="D8">
            <v>15.1</v>
          </cell>
        </row>
        <row r="9">
          <cell r="D9">
            <v>0.2</v>
          </cell>
        </row>
        <row r="10">
          <cell r="D10">
            <v>5</v>
          </cell>
        </row>
        <row r="176">
          <cell r="M176">
            <v>0.25023519583894582</v>
          </cell>
        </row>
      </sheetData>
      <sheetData sheetId="9"/>
      <sheetData sheetId="10">
        <row r="26">
          <cell r="J26">
            <v>496222</v>
          </cell>
          <cell r="L26">
            <v>6.1499999999999999E-2</v>
          </cell>
        </row>
        <row r="39">
          <cell r="J39">
            <v>402990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9">
          <cell r="D9">
            <v>3319.1813750684933</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sheetName val="Recebidos"/>
      <sheetName val="Rec. 2010"/>
      <sheetName val="Rec. 2011"/>
      <sheetName val="Rec. 2013"/>
      <sheetName val="Desp. 2010"/>
      <sheetName val="Desp. 2011"/>
      <sheetName val="Desp. 2012"/>
      <sheetName val="Verificar_Desp. 2013"/>
      <sheetName val="Verificar_Desp 2012"/>
      <sheetName val="Verificar_Rec. 201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ão Relatótio"/>
      <sheetName val="Final"/>
      <sheetName val="Controle"/>
      <sheetName val="BETA"/>
      <sheetName val="Country Risk"/>
      <sheetName val="T-Bonds"/>
      <sheetName val="Long-Horizon ERP"/>
      <sheetName val="Mid-Cap Premia"/>
      <sheetName val="Low-Cap Premia"/>
      <sheetName val="Micro-Cap Premia"/>
      <sheetName val="US Inflation"/>
    </sheetNames>
    <sheetDataSet>
      <sheetData sheetId="0" refreshError="1"/>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terc"/>
      <sheetName val="Kterc (2)"/>
      <sheetName val="Final"/>
      <sheetName val="Controle"/>
      <sheetName val="BETA (2)"/>
      <sheetName val="BETA"/>
      <sheetName val="Country Risk"/>
      <sheetName val="T-Bonds"/>
      <sheetName val="Long-Horizon ERP"/>
      <sheetName val="Mid-Cap Premia"/>
      <sheetName val="Low-Cap Premia"/>
      <sheetName val="Micro-Cap Premia"/>
      <sheetName val="US Inflation"/>
      <sheetName val="Fat TI"/>
    </sheetNames>
    <sheetDataSet>
      <sheetData sheetId="0" refreshError="1"/>
      <sheetData sheetId="1" refreshError="1"/>
      <sheetData sheetId="2" refreshError="1"/>
      <sheetData sheetId="3"/>
      <sheetData sheetId="4" refreshError="1"/>
      <sheetData sheetId="5" refreshError="1"/>
      <sheetData sheetId="6" refreshError="1"/>
      <sheetData sheetId="7" refreshError="1">
        <row r="6">
          <cell r="E6">
            <v>5.0370069444444434</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Custom 4">
      <a:dk1>
        <a:sysClr val="windowText" lastClr="000000"/>
      </a:dk1>
      <a:lt1>
        <a:sysClr val="window" lastClr="FFFFFF"/>
      </a:lt1>
      <a:dk2>
        <a:srgbClr val="00A1DE"/>
      </a:dk2>
      <a:lt2>
        <a:srgbClr val="72C7E7"/>
      </a:lt2>
      <a:accent1>
        <a:srgbClr val="002776"/>
      </a:accent1>
      <a:accent2>
        <a:srgbClr val="92D400"/>
      </a:accent2>
      <a:accent3>
        <a:srgbClr val="00A1DE"/>
      </a:accent3>
      <a:accent4>
        <a:srgbClr val="72C7E7"/>
      </a:accent4>
      <a:accent5>
        <a:srgbClr val="3C8A2E"/>
      </a:accent5>
      <a:accent6>
        <a:srgbClr val="C9DD03"/>
      </a:accent6>
      <a:hlink>
        <a:srgbClr val="0000FF"/>
      </a:hlink>
      <a:folHlink>
        <a:srgbClr val="5F497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bcb.gov.br/"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B8B4-CD5F-43EE-9B41-152881EF4FD0}">
  <dimension ref="A3:L17"/>
  <sheetViews>
    <sheetView showGridLines="0" tabSelected="1" zoomScaleNormal="100" workbookViewId="0">
      <selection activeCell="E14" sqref="E14"/>
    </sheetView>
  </sheetViews>
  <sheetFormatPr defaultColWidth="0" defaultRowHeight="12.75"/>
  <cols>
    <col min="1" max="1" width="9.140625" style="227" customWidth="1"/>
    <col min="2" max="2" width="3" style="227" bestFit="1" customWidth="1"/>
    <col min="3" max="3" width="55.5703125" style="227" customWidth="1"/>
    <col min="4" max="4" width="12.5703125" style="227" customWidth="1"/>
    <col min="5" max="5" width="14.140625" style="227" customWidth="1"/>
    <col min="6" max="6" width="10.140625" style="227" customWidth="1"/>
    <col min="7" max="7" width="10.5703125" style="227" bestFit="1" customWidth="1"/>
    <col min="8" max="8" width="12.28515625" style="227" hidden="1" customWidth="1"/>
    <col min="9" max="9" width="9.7109375" style="227" hidden="1" customWidth="1"/>
    <col min="10" max="10" width="9.140625" style="227" hidden="1" customWidth="1"/>
    <col min="11" max="11" width="21.140625" style="227" hidden="1" customWidth="1"/>
    <col min="12" max="12" width="13.28515625" style="227" hidden="1" customWidth="1"/>
    <col min="13" max="13" width="9.140625" style="227" hidden="1" customWidth="1"/>
    <col min="14" max="16384" width="9.140625" style="227" hidden="1"/>
  </cols>
  <sheetData>
    <row r="3" spans="2:12">
      <c r="B3" s="446" t="s">
        <v>0</v>
      </c>
      <c r="C3" s="447"/>
      <c r="D3" s="447"/>
      <c r="E3" s="447"/>
      <c r="K3" s="296"/>
      <c r="L3" s="231"/>
    </row>
    <row r="4" spans="2:12" ht="25.5">
      <c r="B4" s="234"/>
      <c r="C4" s="428" t="s">
        <v>1</v>
      </c>
      <c r="D4" s="283" t="s">
        <v>2</v>
      </c>
      <c r="E4" s="283" t="s">
        <v>3</v>
      </c>
      <c r="F4" s="284"/>
      <c r="G4" s="284"/>
    </row>
    <row r="5" spans="2:12" ht="15">
      <c r="B5" s="235">
        <v>1</v>
      </c>
      <c r="C5" s="353" t="s">
        <v>69</v>
      </c>
      <c r="D5" s="236" t="s">
        <v>4</v>
      </c>
      <c r="E5" s="237">
        <f>'Preço Coleta'!F53</f>
        <v>144.46502288545867</v>
      </c>
      <c r="F5" s="285"/>
      <c r="G5" s="286"/>
      <c r="L5" s="240"/>
    </row>
    <row r="6" spans="2:12" ht="15">
      <c r="B6" s="235">
        <v>2</v>
      </c>
      <c r="C6" s="425" t="s">
        <v>589</v>
      </c>
      <c r="D6" s="118" t="s">
        <v>4</v>
      </c>
      <c r="E6" s="238">
        <f>'Preço do Aterro'!C45</f>
        <v>104.17860848905295</v>
      </c>
      <c r="F6" s="285"/>
      <c r="G6" s="286"/>
    </row>
    <row r="7" spans="2:12" ht="15">
      <c r="B7" s="235">
        <v>3</v>
      </c>
      <c r="C7" s="426" t="s">
        <v>5</v>
      </c>
      <c r="D7" s="236" t="s">
        <v>4</v>
      </c>
      <c r="E7" s="238">
        <f>RCC!H25</f>
        <v>12.229606212893415</v>
      </c>
      <c r="F7" s="287"/>
      <c r="G7" s="286"/>
    </row>
    <row r="8" spans="2:12" ht="30">
      <c r="B8" s="235">
        <v>4</v>
      </c>
      <c r="C8" s="427" t="s">
        <v>6</v>
      </c>
      <c r="D8" s="236" t="s">
        <v>4</v>
      </c>
      <c r="E8" s="238">
        <f>RCC!H26</f>
        <v>21.439050332376556</v>
      </c>
      <c r="F8" s="287"/>
      <c r="G8" s="286"/>
    </row>
    <row r="9" spans="2:12" ht="15">
      <c r="B9" s="235">
        <v>5</v>
      </c>
      <c r="C9" s="427" t="s">
        <v>7</v>
      </c>
      <c r="D9" s="236" t="s">
        <v>4</v>
      </c>
      <c r="E9" s="238">
        <f>RCC!H27</f>
        <v>19.06594498441282</v>
      </c>
      <c r="F9" s="287"/>
      <c r="G9" s="286"/>
    </row>
    <row r="10" spans="2:12" ht="30">
      <c r="B10" s="289">
        <v>6</v>
      </c>
      <c r="C10" s="426" t="s">
        <v>590</v>
      </c>
      <c r="D10" s="236" t="s">
        <v>8</v>
      </c>
      <c r="E10" s="290">
        <f>'Preço Eventos'!F38</f>
        <v>519.82747215623317</v>
      </c>
      <c r="F10" s="285"/>
      <c r="G10" s="288"/>
    </row>
    <row r="14" spans="2:12" ht="15">
      <c r="C14" s="303"/>
    </row>
    <row r="15" spans="2:12" ht="15">
      <c r="C15" s="303"/>
    </row>
    <row r="16" spans="2:12" ht="15">
      <c r="C16" s="185"/>
    </row>
    <row r="17" spans="3:3" ht="15">
      <c r="C17" s="303"/>
    </row>
  </sheetData>
  <mergeCells count="1">
    <mergeCell ref="B3:E3"/>
  </mergeCells>
  <hyperlinks>
    <hyperlink ref="C5" location="'Preço Coleta'!A1" display="Coleta de resíduos sólidos orgânicos e indiferenciados." xr:uid="{359091A5-0BCF-4237-A38D-5382B7A79095}"/>
    <hyperlink ref="C6" location="'Preço do Aterro'!A1" display="Disposição final de resíduos sólidos no Aterro de Brasília." xr:uid="{8C5758FC-FB53-4454-85B9-479976400E65}"/>
    <hyperlink ref="C7" location="RCC!A1" display="Disposição final de resíduos da construção civil segregados" xr:uid="{10E2EF7C-0C5D-48CF-9D45-29063AA12095}"/>
    <hyperlink ref="C8" location="RCC!A1" display="Disposição final de resíduos da construção civil não segregados" xr:uid="{81535C14-4291-4FA8-81FC-AEC2B761FBFF}"/>
    <hyperlink ref="C9" location="RCC!A1" display="Disposição final de resíduos de podas e galhadas" xr:uid="{90B00E9D-21A9-4A2D-BBC4-FE52128291DD}"/>
    <hyperlink ref="C10" location="'Preço Eventos'!A1" display="Limpeza de vias e logradouros públicos realizada pós-eventos" xr:uid="{C57088AB-21D1-49CC-9BBC-07DF7AE7F9D6}"/>
  </hyperlinks>
  <pageMargins left="0.511811024" right="0.511811024" top="0.78740157499999996" bottom="0.78740157499999996" header="0.31496062000000002" footer="0.3149606200000000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D229-4F08-4361-8BCE-736A660A6D35}">
  <dimension ref="A3:P141"/>
  <sheetViews>
    <sheetView showGridLines="0" zoomScaleNormal="100" workbookViewId="0"/>
  </sheetViews>
  <sheetFormatPr defaultColWidth="0" defaultRowHeight="15"/>
  <cols>
    <col min="1" max="1" width="8.42578125" customWidth="1"/>
    <col min="2" max="2" width="5.42578125" bestFit="1" customWidth="1"/>
    <col min="3" max="3" width="30" customWidth="1"/>
    <col min="4" max="4" width="12.42578125" customWidth="1"/>
    <col min="5" max="5" width="14.42578125" customWidth="1"/>
    <col min="6" max="6" width="12.85546875" customWidth="1"/>
    <col min="7" max="7" width="11.28515625" customWidth="1"/>
    <col min="8" max="8" width="10.7109375" style="71" customWidth="1"/>
    <col min="9" max="9" width="11.28515625" style="71" customWidth="1"/>
    <col min="10" max="10" width="12.140625" style="71" customWidth="1"/>
    <col min="11" max="14" width="8.85546875" style="71" customWidth="1"/>
    <col min="15" max="15" width="8.85546875" customWidth="1"/>
    <col min="16" max="16" width="11.140625" hidden="1" customWidth="1"/>
    <col min="17" max="16384" width="8.85546875" hidden="1"/>
  </cols>
  <sheetData>
    <row r="3" spans="3:13" ht="14.45" customHeight="1">
      <c r="C3" s="466" t="s">
        <v>252</v>
      </c>
      <c r="D3" s="466"/>
      <c r="E3" s="466"/>
      <c r="F3" s="466"/>
      <c r="G3" s="466"/>
      <c r="H3" s="466"/>
      <c r="I3" s="466"/>
      <c r="J3" s="466"/>
      <c r="K3" s="466"/>
      <c r="L3" s="466"/>
      <c r="M3" s="466"/>
    </row>
    <row r="4" spans="3:13" ht="14.45" customHeight="1">
      <c r="C4" s="466"/>
      <c r="D4" s="466"/>
      <c r="E4" s="466"/>
      <c r="F4" s="466"/>
      <c r="G4" s="466"/>
      <c r="H4" s="466"/>
      <c r="I4" s="466"/>
      <c r="J4" s="466"/>
      <c r="K4" s="466"/>
      <c r="L4" s="466"/>
      <c r="M4" s="466"/>
    </row>
    <row r="6" spans="3:13">
      <c r="C6" s="500" t="s">
        <v>253</v>
      </c>
      <c r="D6" s="501"/>
      <c r="E6" s="501"/>
      <c r="F6" s="501"/>
      <c r="G6" s="501"/>
      <c r="H6" s="501"/>
      <c r="I6" s="501"/>
      <c r="J6" s="501"/>
      <c r="K6" s="501"/>
      <c r="L6" s="501"/>
      <c r="M6" s="436"/>
    </row>
    <row r="7" spans="3:13">
      <c r="C7" s="501"/>
      <c r="D7" s="501"/>
      <c r="E7" s="501"/>
      <c r="F7" s="501"/>
      <c r="G7" s="501"/>
      <c r="H7" s="501"/>
      <c r="I7" s="501"/>
      <c r="J7" s="501"/>
      <c r="K7" s="501"/>
      <c r="L7" s="501"/>
      <c r="M7" s="436"/>
    </row>
    <row r="8" spans="3:13">
      <c r="C8" s="501"/>
      <c r="D8" s="501"/>
      <c r="E8" s="501"/>
      <c r="F8" s="501"/>
      <c r="G8" s="501"/>
      <c r="H8" s="501"/>
      <c r="I8" s="501"/>
      <c r="J8" s="501"/>
      <c r="K8" s="501"/>
      <c r="L8" s="501"/>
      <c r="M8" s="436"/>
    </row>
    <row r="9" spans="3:13">
      <c r="C9" s="501"/>
      <c r="D9" s="501"/>
      <c r="E9" s="501"/>
      <c r="F9" s="501"/>
      <c r="G9" s="501"/>
      <c r="H9" s="501"/>
      <c r="I9" s="501"/>
      <c r="J9" s="501"/>
      <c r="K9" s="501"/>
      <c r="L9" s="501"/>
      <c r="M9" s="436"/>
    </row>
    <row r="10" spans="3:13">
      <c r="C10" s="501"/>
      <c r="D10" s="501"/>
      <c r="E10" s="501"/>
      <c r="F10" s="501"/>
      <c r="G10" s="501"/>
      <c r="H10" s="501"/>
      <c r="I10" s="501"/>
      <c r="J10" s="501"/>
      <c r="K10" s="501"/>
      <c r="L10" s="501"/>
      <c r="M10" s="436"/>
    </row>
    <row r="11" spans="3:13">
      <c r="C11" s="501"/>
      <c r="D11" s="501"/>
      <c r="E11" s="501"/>
      <c r="F11" s="501"/>
      <c r="G11" s="501"/>
      <c r="H11" s="501"/>
      <c r="I11" s="501"/>
      <c r="J11" s="501"/>
      <c r="K11" s="501"/>
      <c r="L11" s="501"/>
      <c r="M11" s="436"/>
    </row>
    <row r="12" spans="3:13">
      <c r="C12" s="501"/>
      <c r="D12" s="501"/>
      <c r="E12" s="501"/>
      <c r="F12" s="501"/>
      <c r="G12" s="501"/>
      <c r="H12" s="501"/>
      <c r="I12" s="501"/>
      <c r="J12" s="501"/>
      <c r="K12" s="501"/>
      <c r="L12" s="501"/>
      <c r="M12" s="436"/>
    </row>
    <row r="13" spans="3:13">
      <c r="C13" s="501"/>
      <c r="D13" s="501"/>
      <c r="E13" s="501"/>
      <c r="F13" s="501"/>
      <c r="G13" s="501"/>
      <c r="H13" s="501"/>
      <c r="I13" s="501"/>
      <c r="J13" s="501"/>
      <c r="K13" s="501"/>
      <c r="L13" s="501"/>
      <c r="M13" s="436"/>
    </row>
    <row r="14" spans="3:13">
      <c r="C14" s="501"/>
      <c r="D14" s="501"/>
      <c r="E14" s="501"/>
      <c r="F14" s="501"/>
      <c r="G14" s="501"/>
      <c r="H14" s="501"/>
      <c r="I14" s="501"/>
      <c r="J14" s="501"/>
      <c r="K14" s="501"/>
      <c r="L14" s="501"/>
      <c r="M14" s="436"/>
    </row>
    <row r="15" spans="3:13">
      <c r="C15" s="501"/>
      <c r="D15" s="501"/>
      <c r="E15" s="501"/>
      <c r="F15" s="501"/>
      <c r="G15" s="501"/>
      <c r="H15" s="501"/>
      <c r="I15" s="501"/>
      <c r="J15" s="501"/>
      <c r="K15" s="501"/>
      <c r="L15" s="501"/>
      <c r="M15" s="436"/>
    </row>
    <row r="16" spans="3:13">
      <c r="C16" s="501"/>
      <c r="D16" s="501"/>
      <c r="E16" s="501"/>
      <c r="F16" s="501"/>
      <c r="G16" s="501"/>
      <c r="H16" s="501"/>
      <c r="I16" s="501"/>
      <c r="J16" s="501"/>
      <c r="K16" s="501"/>
      <c r="L16" s="501"/>
      <c r="M16" s="436"/>
    </row>
    <row r="17" spans="2:16" ht="18" customHeight="1">
      <c r="H17" s="436"/>
      <c r="I17" s="436"/>
      <c r="J17" s="436"/>
      <c r="K17" s="436"/>
      <c r="L17" s="436"/>
      <c r="M17" s="436"/>
      <c r="N17" s="436"/>
    </row>
    <row r="18" spans="2:16" s="65" customFormat="1" ht="15" customHeight="1">
      <c r="B18" t="s">
        <v>254</v>
      </c>
      <c r="C18" s="199"/>
      <c r="D18" s="66"/>
      <c r="E18" s="66"/>
      <c r="F18" s="66"/>
      <c r="G18" s="66"/>
      <c r="H18" s="79"/>
      <c r="I18" s="79"/>
      <c r="J18" s="79"/>
      <c r="K18" s="488" t="s">
        <v>255</v>
      </c>
      <c r="L18" s="489"/>
      <c r="M18" s="489"/>
      <c r="N18" s="489"/>
      <c r="O18"/>
    </row>
    <row r="19" spans="2:16" ht="12.75" customHeight="1">
      <c r="B19" s="490" t="s">
        <v>256</v>
      </c>
      <c r="C19" s="490"/>
      <c r="D19" s="51">
        <f>SUM(G21:G29)</f>
        <v>784.23272513217648</v>
      </c>
      <c r="E19" s="493" t="s">
        <v>257</v>
      </c>
      <c r="F19" s="491" t="s">
        <v>28</v>
      </c>
      <c r="G19" s="495" t="s">
        <v>258</v>
      </c>
      <c r="H19" s="491" t="s">
        <v>259</v>
      </c>
      <c r="I19" s="491"/>
      <c r="J19" s="249"/>
      <c r="K19" s="228" t="s">
        <v>260</v>
      </c>
      <c r="L19" s="229">
        <v>4916.46</v>
      </c>
      <c r="M19" s="228" t="s">
        <v>261</v>
      </c>
      <c r="N19" s="229">
        <v>5206.9799999999996</v>
      </c>
      <c r="P19" s="75"/>
    </row>
    <row r="20" spans="2:16" ht="20.45" customHeight="1">
      <c r="B20" s="77"/>
      <c r="C20" s="433" t="s">
        <v>262</v>
      </c>
      <c r="D20" s="434" t="s">
        <v>263</v>
      </c>
      <c r="E20" s="494"/>
      <c r="F20" s="492"/>
      <c r="G20" s="496"/>
      <c r="H20" s="492"/>
      <c r="I20" s="492"/>
      <c r="J20" s="249"/>
      <c r="K20" s="228" t="s">
        <v>264</v>
      </c>
      <c r="L20" s="229">
        <v>4930.72</v>
      </c>
      <c r="M20" s="228" t="s">
        <v>265</v>
      </c>
      <c r="N20" s="229">
        <v>5213.75</v>
      </c>
    </row>
    <row r="21" spans="2:16" ht="12.75" customHeight="1">
      <c r="B21" s="43">
        <v>1</v>
      </c>
      <c r="C21" s="45" t="s">
        <v>266</v>
      </c>
      <c r="D21" s="46">
        <v>314.29000000000065</v>
      </c>
      <c r="E21" s="242">
        <f t="shared" ref="E21:E29" si="0">$N$35/$L$19</f>
        <v>1.0896986856396675</v>
      </c>
      <c r="F21" s="46">
        <f>D21*E21</f>
        <v>342.48139990969179</v>
      </c>
      <c r="G21" s="46">
        <f>F21/H21</f>
        <v>68.496279981938358</v>
      </c>
      <c r="H21" s="80">
        <v>5</v>
      </c>
      <c r="I21" s="80">
        <v>8471</v>
      </c>
      <c r="J21" s="250"/>
      <c r="K21" s="228" t="s">
        <v>267</v>
      </c>
      <c r="L21" s="229">
        <v>4946.5</v>
      </c>
      <c r="M21" s="228" t="s">
        <v>268</v>
      </c>
      <c r="N21" s="229">
        <v>5214.2700000000004</v>
      </c>
      <c r="O21" s="75"/>
    </row>
    <row r="22" spans="2:16" ht="12.75" customHeight="1">
      <c r="B22" s="43">
        <v>2</v>
      </c>
      <c r="C22" s="45" t="s">
        <v>269</v>
      </c>
      <c r="D22" s="46">
        <v>2100.9665727699521</v>
      </c>
      <c r="E22" s="242">
        <f t="shared" si="0"/>
        <v>1.0896986856396675</v>
      </c>
      <c r="F22" s="46">
        <f t="shared" ref="F22:F29" si="1">D22*E22</f>
        <v>2289.4205129202937</v>
      </c>
      <c r="G22" s="46">
        <f t="shared" ref="G22:G29" si="2">F22/H22</f>
        <v>457.88410258405872</v>
      </c>
      <c r="H22" s="80">
        <v>5</v>
      </c>
      <c r="I22" s="80">
        <v>8471</v>
      </c>
      <c r="J22" s="250"/>
      <c r="K22" s="228" t="s">
        <v>270</v>
      </c>
      <c r="L22" s="229">
        <v>4950.95</v>
      </c>
      <c r="M22" s="228" t="s">
        <v>271</v>
      </c>
      <c r="N22" s="229">
        <v>5224.18</v>
      </c>
      <c r="O22" s="75"/>
    </row>
    <row r="23" spans="2:16" ht="12.75" customHeight="1">
      <c r="B23" s="43">
        <v>3</v>
      </c>
      <c r="C23" s="45" t="s">
        <v>272</v>
      </c>
      <c r="D23" s="46">
        <v>24.442892156862818</v>
      </c>
      <c r="E23" s="242">
        <f t="shared" si="0"/>
        <v>1.0896986856396675</v>
      </c>
      <c r="F23" s="46">
        <f t="shared" si="1"/>
        <v>26.635387456565553</v>
      </c>
      <c r="G23" s="46">
        <f t="shared" si="2"/>
        <v>5.3270774913131103</v>
      </c>
      <c r="H23" s="80">
        <v>5</v>
      </c>
      <c r="I23" s="80">
        <v>8471</v>
      </c>
      <c r="J23" s="250"/>
      <c r="K23" s="228" t="s">
        <v>273</v>
      </c>
      <c r="L23" s="229">
        <v>4961.84</v>
      </c>
      <c r="M23" s="228" t="s">
        <v>274</v>
      </c>
      <c r="N23" s="229">
        <v>5229.93</v>
      </c>
      <c r="O23" s="75"/>
    </row>
    <row r="24" spans="2:16" ht="12.75" customHeight="1">
      <c r="B24" s="43">
        <v>4</v>
      </c>
      <c r="C24" s="45" t="s">
        <v>275</v>
      </c>
      <c r="D24" s="46">
        <v>145.94086021505376</v>
      </c>
      <c r="E24" s="242">
        <f t="shared" si="0"/>
        <v>1.0896986856396675</v>
      </c>
      <c r="F24" s="46">
        <f t="shared" si="1"/>
        <v>159.03156355746654</v>
      </c>
      <c r="G24" s="46">
        <f t="shared" si="2"/>
        <v>31.806312711493309</v>
      </c>
      <c r="H24" s="80">
        <v>5</v>
      </c>
      <c r="I24" s="80">
        <v>8517</v>
      </c>
      <c r="J24" s="250"/>
      <c r="K24" s="228" t="s">
        <v>276</v>
      </c>
      <c r="L24" s="229">
        <v>4981.6899999999996</v>
      </c>
      <c r="M24" s="228" t="s">
        <v>12</v>
      </c>
      <c r="N24" s="229">
        <v>5227.84</v>
      </c>
      <c r="O24" s="75"/>
    </row>
    <row r="25" spans="2:16" ht="12.75" customHeight="1">
      <c r="B25" s="43">
        <v>5</v>
      </c>
      <c r="C25" s="45" t="s">
        <v>277</v>
      </c>
      <c r="D25" s="46">
        <v>188.83537037037036</v>
      </c>
      <c r="E25" s="242">
        <f t="shared" si="0"/>
        <v>1.0896986856396675</v>
      </c>
      <c r="F25" s="46">
        <f t="shared" si="1"/>
        <v>205.77365489487241</v>
      </c>
      <c r="G25" s="46">
        <f t="shared" si="2"/>
        <v>20.577365489487242</v>
      </c>
      <c r="H25" s="80">
        <v>10</v>
      </c>
      <c r="I25" s="80">
        <v>9403</v>
      </c>
      <c r="J25" s="250"/>
      <c r="K25" s="228" t="s">
        <v>278</v>
      </c>
      <c r="L25" s="229">
        <v>5044.46</v>
      </c>
      <c r="M25" s="228" t="s">
        <v>14</v>
      </c>
      <c r="N25" s="229">
        <v>5233.07</v>
      </c>
      <c r="O25" s="75"/>
    </row>
    <row r="26" spans="2:16" ht="12.75" customHeight="1">
      <c r="B26" s="43">
        <v>6</v>
      </c>
      <c r="C26" s="45" t="s">
        <v>279</v>
      </c>
      <c r="D26" s="46">
        <v>218.86909090909091</v>
      </c>
      <c r="E26" s="242">
        <f t="shared" si="0"/>
        <v>1.0896986856396675</v>
      </c>
      <c r="F26" s="46">
        <f t="shared" si="1"/>
        <v>238.50136069078528</v>
      </c>
      <c r="G26" s="46">
        <f t="shared" si="2"/>
        <v>23.850136069078527</v>
      </c>
      <c r="H26" s="80">
        <v>10</v>
      </c>
      <c r="I26" s="80">
        <v>9403</v>
      </c>
      <c r="J26" s="250"/>
      <c r="K26" s="228" t="s">
        <v>280</v>
      </c>
      <c r="L26" s="229">
        <v>5061.1099999999997</v>
      </c>
      <c r="M26" s="228" t="s">
        <v>16</v>
      </c>
      <c r="N26" s="229">
        <v>5259.76</v>
      </c>
      <c r="O26" s="75"/>
    </row>
    <row r="27" spans="2:16" ht="12.75" customHeight="1">
      <c r="B27" s="43">
        <v>7</v>
      </c>
      <c r="C27" s="45" t="s">
        <v>281</v>
      </c>
      <c r="D27" s="46">
        <v>622.533309859155</v>
      </c>
      <c r="E27" s="242">
        <f t="shared" si="0"/>
        <v>1.0896986856396675</v>
      </c>
      <c r="F27" s="46">
        <f t="shared" si="1"/>
        <v>678.37372952043313</v>
      </c>
      <c r="G27" s="46">
        <f t="shared" si="2"/>
        <v>67.83737295204331</v>
      </c>
      <c r="H27" s="80">
        <v>10</v>
      </c>
      <c r="I27" s="80">
        <v>9403</v>
      </c>
      <c r="J27" s="250"/>
      <c r="K27" s="228" t="s">
        <v>282</v>
      </c>
      <c r="L27" s="229">
        <v>5056.5600000000004</v>
      </c>
      <c r="M27" s="228" t="s">
        <v>18</v>
      </c>
      <c r="N27" s="229">
        <v>5320.25</v>
      </c>
      <c r="O27" s="75"/>
    </row>
    <row r="28" spans="2:16" ht="12.75" customHeight="1">
      <c r="B28" s="43">
        <v>8</v>
      </c>
      <c r="C28" s="45" t="s">
        <v>283</v>
      </c>
      <c r="D28" s="46">
        <v>685</v>
      </c>
      <c r="E28" s="242">
        <f t="shared" si="0"/>
        <v>1.0896986856396675</v>
      </c>
      <c r="F28" s="46">
        <f t="shared" si="1"/>
        <v>746.44359966317222</v>
      </c>
      <c r="G28" s="46">
        <f t="shared" si="2"/>
        <v>74.644359966317225</v>
      </c>
      <c r="H28" s="80">
        <v>10</v>
      </c>
      <c r="I28" s="80">
        <v>9403</v>
      </c>
      <c r="J28" s="250"/>
      <c r="K28" s="228" t="s">
        <v>284</v>
      </c>
      <c r="L28" s="229">
        <v>5080.83</v>
      </c>
      <c r="M28" s="228" t="s">
        <v>20</v>
      </c>
      <c r="N28" s="229">
        <v>5331.42</v>
      </c>
      <c r="O28" s="75"/>
    </row>
    <row r="29" spans="2:16" ht="12.75" customHeight="1">
      <c r="B29" s="43">
        <v>9</v>
      </c>
      <c r="C29" s="45" t="s">
        <v>285</v>
      </c>
      <c r="D29" s="46">
        <v>155.13333333333335</v>
      </c>
      <c r="E29" s="242">
        <f t="shared" si="0"/>
        <v>1.0896986856396675</v>
      </c>
      <c r="F29" s="46">
        <f t="shared" si="1"/>
        <v>169.04858943223377</v>
      </c>
      <c r="G29" s="46">
        <f t="shared" si="2"/>
        <v>33.809717886446755</v>
      </c>
      <c r="H29" s="80">
        <v>5</v>
      </c>
      <c r="I29" s="80">
        <v>8471</v>
      </c>
      <c r="J29" s="250"/>
      <c r="K29" s="228" t="s">
        <v>286</v>
      </c>
      <c r="L29" s="229">
        <v>5103.6899999999996</v>
      </c>
      <c r="M29" s="228" t="s">
        <v>22</v>
      </c>
      <c r="N29" s="229">
        <v>5344.75</v>
      </c>
      <c r="O29" s="75"/>
    </row>
    <row r="30" spans="2:16" ht="12.75" customHeight="1">
      <c r="B30" s="330"/>
      <c r="C30" s="331"/>
      <c r="D30" s="332"/>
      <c r="E30" s="333"/>
      <c r="F30" s="334"/>
      <c r="G30" s="334"/>
      <c r="H30" s="250"/>
      <c r="I30" s="250"/>
      <c r="J30" s="250"/>
      <c r="K30" s="228" t="s">
        <v>287</v>
      </c>
      <c r="L30" s="229">
        <v>5092.97</v>
      </c>
      <c r="M30" s="228" t="s">
        <v>13</v>
      </c>
      <c r="N30" s="229">
        <v>5348.49</v>
      </c>
    </row>
    <row r="31" spans="2:16" ht="12.75" customHeight="1">
      <c r="B31" s="490" t="s">
        <v>288</v>
      </c>
      <c r="C31" s="490"/>
      <c r="D31" s="51">
        <f>SUM(G33:G47)</f>
        <v>2198.973871574844</v>
      </c>
      <c r="E31" s="493" t="s">
        <v>257</v>
      </c>
      <c r="F31" s="491" t="s">
        <v>28</v>
      </c>
      <c r="G31" s="495" t="s">
        <v>258</v>
      </c>
      <c r="H31" s="491" t="s">
        <v>259</v>
      </c>
      <c r="I31" s="491"/>
      <c r="J31" s="250"/>
      <c r="K31" s="228" t="s">
        <v>289</v>
      </c>
      <c r="L31" s="229">
        <v>5100.6099999999997</v>
      </c>
      <c r="M31" s="228" t="s">
        <v>15</v>
      </c>
      <c r="N31" s="229">
        <v>5331.91</v>
      </c>
    </row>
    <row r="32" spans="2:16" ht="19.149999999999999" customHeight="1">
      <c r="B32" s="78"/>
      <c r="C32" s="433" t="s">
        <v>262</v>
      </c>
      <c r="D32" s="50" t="s">
        <v>263</v>
      </c>
      <c r="E32" s="494"/>
      <c r="F32" s="492"/>
      <c r="G32" s="496"/>
      <c r="H32" s="492"/>
      <c r="I32" s="492"/>
      <c r="J32" s="436"/>
      <c r="K32" s="228" t="s">
        <v>290</v>
      </c>
      <c r="L32" s="229">
        <v>5116.93</v>
      </c>
      <c r="M32" s="228" t="s">
        <v>17</v>
      </c>
      <c r="N32" s="229">
        <v>5311.65</v>
      </c>
    </row>
    <row r="33" spans="2:15" ht="12.75" customHeight="1">
      <c r="B33" s="43">
        <v>1</v>
      </c>
      <c r="C33" s="45" t="s">
        <v>291</v>
      </c>
      <c r="D33" s="46">
        <v>1030.316</v>
      </c>
      <c r="E33" s="242">
        <f t="shared" ref="E33:E47" si="3">$N$35/$L$19</f>
        <v>1.0896986856396675</v>
      </c>
      <c r="F33" s="46">
        <f>D33*E33</f>
        <v>1122.7339909935197</v>
      </c>
      <c r="G33" s="46">
        <f>F33/H33</f>
        <v>112.27339909935196</v>
      </c>
      <c r="H33" s="80">
        <v>10</v>
      </c>
      <c r="I33" s="80">
        <v>9403</v>
      </c>
      <c r="J33" s="249"/>
      <c r="K33" s="228" t="s">
        <v>292</v>
      </c>
      <c r="L33" s="229">
        <v>5138.93</v>
      </c>
      <c r="M33" s="228" t="s">
        <v>19</v>
      </c>
      <c r="N33" s="229">
        <v>5325.46</v>
      </c>
    </row>
    <row r="34" spans="2:15">
      <c r="B34" s="43">
        <v>2</v>
      </c>
      <c r="C34" s="45" t="s">
        <v>293</v>
      </c>
      <c r="D34" s="46">
        <f>188.83537037037*6</f>
        <v>1133.0122222222199</v>
      </c>
      <c r="E34" s="242">
        <f t="shared" si="3"/>
        <v>1.0896986856396675</v>
      </c>
      <c r="F34" s="46">
        <f t="shared" ref="F34:F41" si="4">D34*E34</f>
        <v>1234.641929369232</v>
      </c>
      <c r="G34" s="46">
        <f t="shared" ref="G34:G47" si="5">F34/H34</f>
        <v>123.4641929369232</v>
      </c>
      <c r="H34" s="80">
        <v>10</v>
      </c>
      <c r="I34" s="80">
        <v>9403</v>
      </c>
      <c r="J34" s="249"/>
      <c r="K34" s="228" t="s">
        <v>294</v>
      </c>
      <c r="L34" s="229">
        <v>5177.47</v>
      </c>
      <c r="M34" s="228" t="s">
        <v>21</v>
      </c>
      <c r="N34" s="229">
        <v>5344.63</v>
      </c>
    </row>
    <row r="35" spans="2:15" ht="12.75" customHeight="1">
      <c r="B35" s="43">
        <v>3</v>
      </c>
      <c r="C35" s="45" t="s">
        <v>295</v>
      </c>
      <c r="D35" s="46">
        <v>333.49643564356404</v>
      </c>
      <c r="E35" s="242">
        <f t="shared" si="3"/>
        <v>1.0896986856396675</v>
      </c>
      <c r="F35" s="46">
        <f t="shared" si="4"/>
        <v>363.41062758630574</v>
      </c>
      <c r="G35" s="46">
        <f t="shared" si="5"/>
        <v>36.341062758630571</v>
      </c>
      <c r="H35" s="80">
        <v>10</v>
      </c>
      <c r="I35" s="80">
        <v>9403</v>
      </c>
      <c r="J35" s="250"/>
      <c r="K35" s="436"/>
      <c r="L35" s="436"/>
      <c r="M35" s="228" t="s">
        <v>23</v>
      </c>
      <c r="N35" s="229">
        <v>5357.46</v>
      </c>
      <c r="O35" s="75"/>
    </row>
    <row r="36" spans="2:15" ht="12.75" customHeight="1">
      <c r="B36" s="43">
        <v>4</v>
      </c>
      <c r="C36" s="45" t="s">
        <v>279</v>
      </c>
      <c r="D36" s="46">
        <v>218.86909090909091</v>
      </c>
      <c r="E36" s="242">
        <f t="shared" si="3"/>
        <v>1.0896986856396675</v>
      </c>
      <c r="F36" s="46">
        <f t="shared" si="4"/>
        <v>238.50136069078528</v>
      </c>
      <c r="G36" s="46">
        <f t="shared" si="5"/>
        <v>23.850136069078527</v>
      </c>
      <c r="H36" s="80">
        <v>10</v>
      </c>
      <c r="I36" s="80">
        <v>9403</v>
      </c>
      <c r="J36" s="250"/>
      <c r="K36" s="296" t="s">
        <v>25</v>
      </c>
      <c r="L36" s="436"/>
      <c r="M36" s="233"/>
      <c r="N36" s="233"/>
      <c r="O36" s="75"/>
    </row>
    <row r="37" spans="2:15" ht="12.75" customHeight="1">
      <c r="B37" s="43">
        <v>5</v>
      </c>
      <c r="C37" s="45" t="s">
        <v>296</v>
      </c>
      <c r="D37" s="46">
        <v>2628.5714285714284</v>
      </c>
      <c r="E37" s="242">
        <f t="shared" si="3"/>
        <v>1.0896986856396675</v>
      </c>
      <c r="F37" s="46">
        <f t="shared" si="4"/>
        <v>2864.350830824269</v>
      </c>
      <c r="G37" s="46">
        <f t="shared" si="5"/>
        <v>572.8701661648538</v>
      </c>
      <c r="H37" s="80">
        <v>5</v>
      </c>
      <c r="I37" s="80">
        <v>8525</v>
      </c>
      <c r="J37" s="250"/>
      <c r="K37" s="436"/>
      <c r="L37" s="436"/>
      <c r="M37" s="233"/>
      <c r="N37" s="233"/>
      <c r="O37" s="75"/>
    </row>
    <row r="38" spans="2:15" ht="12.75" customHeight="1">
      <c r="B38" s="43">
        <v>6</v>
      </c>
      <c r="C38" s="45" t="s">
        <v>297</v>
      </c>
      <c r="D38" s="46">
        <v>2365.6192307692304</v>
      </c>
      <c r="E38" s="242">
        <f t="shared" si="3"/>
        <v>1.0896986856396675</v>
      </c>
      <c r="F38" s="46">
        <f t="shared" si="4"/>
        <v>2577.8121664931518</v>
      </c>
      <c r="G38" s="46">
        <f t="shared" si="5"/>
        <v>257.78121664931518</v>
      </c>
      <c r="H38" s="80">
        <v>10</v>
      </c>
      <c r="I38" s="80">
        <v>9403</v>
      </c>
      <c r="J38" s="250"/>
      <c r="K38" s="436"/>
      <c r="L38" s="436"/>
      <c r="M38" s="233"/>
      <c r="N38" s="233"/>
      <c r="O38" s="75"/>
    </row>
    <row r="39" spans="2:15" ht="12.75" customHeight="1">
      <c r="B39" s="43">
        <v>7</v>
      </c>
      <c r="C39" s="45" t="s">
        <v>298</v>
      </c>
      <c r="D39" s="46">
        <v>1915</v>
      </c>
      <c r="E39" s="242">
        <f t="shared" si="3"/>
        <v>1.0896986856396675</v>
      </c>
      <c r="F39" s="46">
        <f t="shared" si="4"/>
        <v>2086.7729829999635</v>
      </c>
      <c r="G39" s="46">
        <f t="shared" si="5"/>
        <v>208.67729829999635</v>
      </c>
      <c r="H39" s="80">
        <v>10</v>
      </c>
      <c r="I39" s="80">
        <v>8424</v>
      </c>
      <c r="J39" s="250"/>
      <c r="K39" s="436"/>
      <c r="L39" s="436"/>
      <c r="M39" s="233"/>
      <c r="N39" s="233"/>
      <c r="O39" s="75"/>
    </row>
    <row r="40" spans="2:15" ht="12.75" customHeight="1">
      <c r="B40" s="43">
        <v>8</v>
      </c>
      <c r="C40" s="45" t="s">
        <v>299</v>
      </c>
      <c r="D40" s="46">
        <v>340.56205787781346</v>
      </c>
      <c r="E40" s="242">
        <f t="shared" si="3"/>
        <v>1.0896986856396675</v>
      </c>
      <c r="F40" s="46">
        <f t="shared" si="4"/>
        <v>371.11002684819368</v>
      </c>
      <c r="G40" s="46">
        <f t="shared" si="5"/>
        <v>37.111002684819368</v>
      </c>
      <c r="H40" s="80">
        <v>10</v>
      </c>
      <c r="I40" s="80">
        <v>9403</v>
      </c>
      <c r="J40" s="250"/>
      <c r="K40" s="436"/>
      <c r="L40" s="436"/>
      <c r="M40"/>
      <c r="N40" s="233"/>
      <c r="O40" s="75"/>
    </row>
    <row r="41" spans="2:15" ht="12.75" customHeight="1">
      <c r="B41" s="43">
        <v>11</v>
      </c>
      <c r="C41" s="45" t="s">
        <v>300</v>
      </c>
      <c r="D41" s="46">
        <v>314.29000000000065</v>
      </c>
      <c r="E41" s="242">
        <f t="shared" si="3"/>
        <v>1.0896986856396675</v>
      </c>
      <c r="F41" s="46">
        <f t="shared" si="4"/>
        <v>342.48139990969179</v>
      </c>
      <c r="G41" s="46">
        <f t="shared" si="5"/>
        <v>68.496279981938358</v>
      </c>
      <c r="H41" s="80">
        <v>5</v>
      </c>
      <c r="I41" s="80">
        <v>8471</v>
      </c>
      <c r="J41" s="250"/>
      <c r="K41" s="436"/>
      <c r="L41" s="436"/>
      <c r="M41" s="233"/>
      <c r="N41" s="233"/>
      <c r="O41" s="75"/>
    </row>
    <row r="42" spans="2:15" ht="12.75" customHeight="1">
      <c r="B42" s="43">
        <v>12</v>
      </c>
      <c r="C42" s="45" t="s">
        <v>269</v>
      </c>
      <c r="D42" s="46">
        <v>2100.9665727699521</v>
      </c>
      <c r="E42" s="242">
        <f t="shared" si="3"/>
        <v>1.0896986856396675</v>
      </c>
      <c r="F42" s="46">
        <f t="shared" ref="F42:F47" si="6">D42*E42</f>
        <v>2289.4205129202937</v>
      </c>
      <c r="G42" s="46">
        <f t="shared" si="5"/>
        <v>457.88410258405872</v>
      </c>
      <c r="H42" s="80">
        <v>5</v>
      </c>
      <c r="I42" s="80">
        <v>8471</v>
      </c>
      <c r="J42" s="250"/>
      <c r="K42" s="436"/>
      <c r="L42" s="436"/>
      <c r="M42" s="233"/>
      <c r="N42" s="233"/>
      <c r="O42" s="75"/>
    </row>
    <row r="43" spans="2:15" ht="12.75" customHeight="1">
      <c r="B43" s="43">
        <v>13</v>
      </c>
      <c r="C43" s="45" t="s">
        <v>272</v>
      </c>
      <c r="D43" s="46">
        <v>24.442892156862818</v>
      </c>
      <c r="E43" s="242">
        <f t="shared" si="3"/>
        <v>1.0896986856396675</v>
      </c>
      <c r="F43" s="46">
        <f t="shared" si="6"/>
        <v>26.635387456565553</v>
      </c>
      <c r="G43" s="46">
        <f t="shared" si="5"/>
        <v>5.3270774913131103</v>
      </c>
      <c r="H43" s="80">
        <v>5</v>
      </c>
      <c r="I43" s="80">
        <v>8471</v>
      </c>
      <c r="J43" s="250"/>
      <c r="K43" s="436"/>
      <c r="L43" s="436"/>
      <c r="M43" s="233"/>
      <c r="N43" s="233"/>
      <c r="O43" s="75"/>
    </row>
    <row r="44" spans="2:15" ht="12.75" customHeight="1">
      <c r="B44" s="43">
        <v>14</v>
      </c>
      <c r="C44" s="45" t="s">
        <v>275</v>
      </c>
      <c r="D44" s="46">
        <v>145.94086021505376</v>
      </c>
      <c r="E44" s="242">
        <f t="shared" si="3"/>
        <v>1.0896986856396675</v>
      </c>
      <c r="F44" s="46">
        <f t="shared" si="6"/>
        <v>159.03156355746654</v>
      </c>
      <c r="G44" s="46">
        <f t="shared" si="5"/>
        <v>31.806312711493309</v>
      </c>
      <c r="H44" s="80">
        <v>5</v>
      </c>
      <c r="I44" s="80">
        <v>8517</v>
      </c>
      <c r="J44" s="250"/>
      <c r="K44" s="436"/>
      <c r="L44" s="436"/>
      <c r="M44" s="233"/>
      <c r="N44" s="233"/>
      <c r="O44" s="75"/>
    </row>
    <row r="45" spans="2:15" ht="12.75" customHeight="1">
      <c r="B45" s="43">
        <v>15</v>
      </c>
      <c r="C45" s="45" t="s">
        <v>293</v>
      </c>
      <c r="D45" s="46">
        <v>188.83537037037036</v>
      </c>
      <c r="E45" s="242">
        <f t="shared" si="3"/>
        <v>1.0896986856396675</v>
      </c>
      <c r="F45" s="46">
        <f t="shared" si="6"/>
        <v>205.77365489487241</v>
      </c>
      <c r="G45" s="46">
        <f t="shared" si="5"/>
        <v>20.577365489487242</v>
      </c>
      <c r="H45" s="80">
        <v>10</v>
      </c>
      <c r="I45" s="80">
        <v>9403</v>
      </c>
      <c r="J45" s="250"/>
      <c r="K45" s="436"/>
      <c r="L45" s="436"/>
      <c r="M45" s="233"/>
      <c r="N45" s="233"/>
      <c r="O45" s="75"/>
    </row>
    <row r="46" spans="2:15" ht="12.75" customHeight="1">
      <c r="B46" s="43">
        <v>16</v>
      </c>
      <c r="C46" s="45" t="s">
        <v>301</v>
      </c>
      <c r="D46" s="46">
        <v>1915.25</v>
      </c>
      <c r="E46" s="242">
        <f t="shared" si="3"/>
        <v>1.0896986856396675</v>
      </c>
      <c r="F46" s="46">
        <f t="shared" si="6"/>
        <v>2087.0454076713731</v>
      </c>
      <c r="G46" s="46">
        <f t="shared" si="5"/>
        <v>208.7045407671373</v>
      </c>
      <c r="H46" s="80">
        <v>10</v>
      </c>
      <c r="I46" s="80">
        <v>9403</v>
      </c>
      <c r="J46" s="250"/>
      <c r="K46" s="436"/>
      <c r="L46" s="436"/>
      <c r="M46" s="233"/>
      <c r="N46" s="233"/>
      <c r="O46" s="75"/>
    </row>
    <row r="47" spans="2:15" ht="12.75" customHeight="1">
      <c r="B47" s="43">
        <v>17</v>
      </c>
      <c r="C47" s="45" t="s">
        <v>285</v>
      </c>
      <c r="D47" s="46">
        <v>155.13333333333335</v>
      </c>
      <c r="E47" s="242">
        <f t="shared" si="3"/>
        <v>1.0896986856396675</v>
      </c>
      <c r="F47" s="46">
        <f t="shared" si="6"/>
        <v>169.04858943223377</v>
      </c>
      <c r="G47" s="46">
        <f t="shared" si="5"/>
        <v>33.809717886446755</v>
      </c>
      <c r="H47" s="80">
        <v>5</v>
      </c>
      <c r="I47" s="80">
        <v>8471</v>
      </c>
      <c r="J47" s="250"/>
      <c r="K47" s="436"/>
      <c r="L47" s="436"/>
      <c r="M47" s="233"/>
      <c r="N47" s="233"/>
      <c r="O47" s="75"/>
    </row>
    <row r="48" spans="2:15" ht="12.75" customHeight="1">
      <c r="B48" s="330"/>
      <c r="C48" s="331"/>
      <c r="D48" s="334"/>
      <c r="E48" s="333"/>
      <c r="F48" s="334"/>
      <c r="G48" s="334"/>
      <c r="H48" s="250"/>
      <c r="I48" s="250"/>
      <c r="J48" s="250"/>
      <c r="K48" s="436"/>
      <c r="L48" s="436"/>
      <c r="M48" s="233"/>
      <c r="N48" s="233"/>
      <c r="O48" s="75"/>
    </row>
    <row r="49" spans="2:15" ht="12.75" customHeight="1">
      <c r="B49" s="354" t="s">
        <v>302</v>
      </c>
      <c r="C49" s="331"/>
      <c r="D49" s="334"/>
      <c r="E49" s="333"/>
      <c r="F49" s="334"/>
      <c r="G49" s="334"/>
      <c r="H49" s="250"/>
      <c r="I49" s="250"/>
      <c r="J49" s="250"/>
      <c r="K49" s="436"/>
      <c r="L49" s="436"/>
      <c r="M49" s="233"/>
      <c r="N49" s="233"/>
      <c r="O49" s="75"/>
    </row>
    <row r="50" spans="2:15" ht="30" customHeight="1">
      <c r="B50" s="354" t="s">
        <v>303</v>
      </c>
      <c r="C50" s="331"/>
      <c r="D50" s="334"/>
      <c r="E50" s="333"/>
      <c r="G50" s="334"/>
      <c r="H50" s="250"/>
      <c r="I50" s="250"/>
      <c r="J50" s="250"/>
      <c r="K50" s="436"/>
      <c r="L50" s="436"/>
      <c r="M50" s="233"/>
      <c r="N50" s="233"/>
      <c r="O50" s="75"/>
    </row>
    <row r="51" spans="2:15" ht="12.75" customHeight="1">
      <c r="B51" s="330"/>
      <c r="C51" s="331"/>
      <c r="D51" s="334"/>
      <c r="E51" s="333"/>
      <c r="F51" s="334"/>
      <c r="G51" s="334"/>
      <c r="H51" s="250"/>
      <c r="I51" s="250"/>
      <c r="J51"/>
      <c r="K51" s="436"/>
      <c r="L51" s="436"/>
      <c r="M51" s="233"/>
      <c r="N51" s="233"/>
      <c r="O51" s="75"/>
    </row>
    <row r="52" spans="2:15" ht="18.600000000000001" customHeight="1">
      <c r="B52" s="354" t="s">
        <v>31</v>
      </c>
      <c r="C52" s="331"/>
      <c r="D52" s="334"/>
      <c r="E52" s="333"/>
      <c r="F52" s="334"/>
      <c r="G52" s="334"/>
      <c r="H52" s="250"/>
      <c r="I52" s="250"/>
      <c r="J52" s="250"/>
      <c r="K52" s="436"/>
      <c r="L52" s="436"/>
      <c r="M52" s="233"/>
      <c r="N52" s="233"/>
      <c r="O52" s="75"/>
    </row>
    <row r="53" spans="2:15" s="361" customFormat="1" ht="18" customHeight="1">
      <c r="B53" s="355" t="s">
        <v>304</v>
      </c>
      <c r="C53" s="331"/>
      <c r="D53" s="356"/>
      <c r="E53" s="357"/>
      <c r="F53" s="356"/>
      <c r="G53" s="356"/>
      <c r="H53" s="358"/>
      <c r="I53" s="358"/>
      <c r="J53" s="358"/>
      <c r="K53" s="359"/>
      <c r="L53" s="359"/>
      <c r="M53" s="233"/>
      <c r="N53" s="233"/>
      <c r="O53" s="360"/>
    </row>
    <row r="54" spans="2:15" ht="20.45" customHeight="1">
      <c r="B54" s="354" t="s">
        <v>305</v>
      </c>
      <c r="C54" s="331"/>
      <c r="D54" s="334"/>
      <c r="E54" s="333"/>
      <c r="F54" s="334"/>
      <c r="G54" s="334"/>
      <c r="H54" s="250"/>
      <c r="I54" s="250"/>
      <c r="J54" s="250"/>
      <c r="K54" s="436"/>
      <c r="L54" s="436"/>
      <c r="M54" s="233"/>
      <c r="N54" s="233"/>
      <c r="O54" s="75"/>
    </row>
    <row r="55" spans="2:15" ht="12.75" customHeight="1">
      <c r="B55" s="354"/>
      <c r="C55" s="331"/>
      <c r="D55" s="334"/>
      <c r="E55" s="333"/>
      <c r="F55" s="334"/>
      <c r="G55" s="334"/>
      <c r="H55" s="250"/>
      <c r="I55" s="250"/>
      <c r="J55" s="250"/>
      <c r="K55" s="436"/>
      <c r="L55" s="436"/>
      <c r="M55" s="233"/>
      <c r="N55" s="233"/>
      <c r="O55" s="75"/>
    </row>
    <row r="56" spans="2:15" ht="12.75" customHeight="1">
      <c r="B56" s="354" t="s">
        <v>306</v>
      </c>
      <c r="C56" s="331"/>
      <c r="D56" s="334"/>
      <c r="E56" s="333"/>
      <c r="F56" s="334"/>
      <c r="G56" s="334"/>
      <c r="H56" s="250"/>
      <c r="I56" s="250"/>
      <c r="J56" s="250"/>
      <c r="K56" s="436"/>
      <c r="L56" s="436"/>
      <c r="M56" s="233"/>
      <c r="N56" s="233"/>
      <c r="O56" s="75"/>
    </row>
    <row r="57" spans="2:15" ht="12.75" customHeight="1">
      <c r="B57" s="354" t="s">
        <v>307</v>
      </c>
      <c r="C57" s="331"/>
      <c r="D57" s="334"/>
      <c r="E57" s="333"/>
      <c r="F57" s="334"/>
      <c r="G57" s="334"/>
      <c r="H57" s="250"/>
      <c r="I57" s="250"/>
      <c r="J57" s="250"/>
      <c r="K57" s="436"/>
      <c r="L57" s="436"/>
      <c r="M57" s="233"/>
      <c r="N57" s="233"/>
      <c r="O57" s="75"/>
    </row>
    <row r="58" spans="2:15" ht="12.75" customHeight="1">
      <c r="B58" s="203"/>
      <c r="H58" s="436"/>
      <c r="I58" s="436"/>
      <c r="J58" s="250"/>
      <c r="K58" s="436"/>
      <c r="L58" s="436"/>
      <c r="M58" s="233"/>
      <c r="N58" s="233"/>
      <c r="O58" s="75"/>
    </row>
    <row r="59" spans="2:15" s="220" customFormat="1" ht="30" customHeight="1">
      <c r="B59" s="506" t="s">
        <v>170</v>
      </c>
      <c r="C59" s="506"/>
      <c r="D59" s="497" t="s">
        <v>308</v>
      </c>
      <c r="E59" s="498"/>
      <c r="F59" s="497" t="s">
        <v>309</v>
      </c>
      <c r="G59" s="498"/>
      <c r="H59" s="346"/>
      <c r="I59" s="346"/>
      <c r="J59" s="347"/>
      <c r="K59" s="346"/>
      <c r="L59" s="346"/>
      <c r="M59" s="233"/>
      <c r="N59" s="233"/>
      <c r="O59" s="348"/>
    </row>
    <row r="60" spans="2:15" ht="12.75" customHeight="1">
      <c r="B60" s="506"/>
      <c r="C60" s="506"/>
      <c r="D60" s="292" t="s">
        <v>310</v>
      </c>
      <c r="E60" s="292" t="s">
        <v>311</v>
      </c>
      <c r="F60" s="292" t="s">
        <v>310</v>
      </c>
      <c r="G60" s="292" t="s">
        <v>311</v>
      </c>
      <c r="H60" s="436"/>
      <c r="I60" s="250"/>
      <c r="J60" s="250"/>
      <c r="K60" s="436"/>
      <c r="L60" s="436"/>
      <c r="M60" s="233"/>
      <c r="N60" s="233"/>
    </row>
    <row r="61" spans="2:15" ht="12.75" customHeight="1">
      <c r="B61" s="499" t="s">
        <v>178</v>
      </c>
      <c r="C61" s="499"/>
      <c r="D61" s="335">
        <f>SUMIF($E$90:$E$140,D72,$F$90:$F$140)</f>
        <v>21</v>
      </c>
      <c r="E61" s="335">
        <f>SUMIF($E$90:$E$140,D72,$G$90:$G$140)</f>
        <v>188</v>
      </c>
      <c r="F61" s="46">
        <f>D61*$D$31</f>
        <v>46178.451303071721</v>
      </c>
      <c r="G61" s="336">
        <f>E61*$D$19</f>
        <v>147435.75232484919</v>
      </c>
      <c r="H61" s="436"/>
      <c r="I61" s="250"/>
      <c r="J61" s="250"/>
      <c r="K61" s="436"/>
      <c r="L61" s="436"/>
      <c r="M61" s="233"/>
      <c r="N61" s="233"/>
    </row>
    <row r="62" spans="2:15" ht="12.75" customHeight="1">
      <c r="B62" s="499" t="s">
        <v>179</v>
      </c>
      <c r="C62" s="499"/>
      <c r="D62" s="335">
        <f>SUMIF($E$90:$E$140,D73,$F$90:$F$140)</f>
        <v>0</v>
      </c>
      <c r="E62" s="335">
        <f>SUMIF($E$90:$E$140,D73,$G$90:$G$140)</f>
        <v>27</v>
      </c>
      <c r="F62" s="46">
        <f t="shared" ref="F62:F64" si="7">D62*$D$31</f>
        <v>0</v>
      </c>
      <c r="G62" s="336">
        <f t="shared" ref="G62:G64" si="8">E62*$D$19</f>
        <v>21174.283578568764</v>
      </c>
      <c r="H62" s="436"/>
      <c r="I62" s="436"/>
      <c r="J62" s="436"/>
      <c r="K62"/>
      <c r="L62" s="436"/>
      <c r="M62" s="436"/>
      <c r="N62" s="436"/>
    </row>
    <row r="63" spans="2:15" ht="28.9" customHeight="1">
      <c r="B63" s="449" t="s">
        <v>180</v>
      </c>
      <c r="C63" s="449"/>
      <c r="D63" s="349">
        <f>SUMIF($E$90:$E$140,D74,$F$90:$F$140)</f>
        <v>1</v>
      </c>
      <c r="E63" s="349">
        <f>SUMIF($E$90:$E$140,D74,$G$90:$G$140)</f>
        <v>35</v>
      </c>
      <c r="F63" s="350">
        <f t="shared" si="7"/>
        <v>2198.973871574844</v>
      </c>
      <c r="G63" s="351">
        <f t="shared" si="8"/>
        <v>27448.145379626178</v>
      </c>
      <c r="H63" s="436"/>
      <c r="I63" s="436"/>
      <c r="J63" s="436"/>
      <c r="K63" s="436"/>
      <c r="L63" s="436"/>
      <c r="M63" s="436"/>
      <c r="N63" s="436"/>
    </row>
    <row r="64" spans="2:15" ht="12.75" customHeight="1">
      <c r="B64" s="499" t="s">
        <v>181</v>
      </c>
      <c r="C64" s="499"/>
      <c r="D64" s="335">
        <f>SUMIF($E$90:$E$140,D75,$F$90:$F$140)</f>
        <v>0</v>
      </c>
      <c r="E64" s="335">
        <f>SUMIF($E$90:$E$140,D75,$G$90:$G$140)</f>
        <v>16</v>
      </c>
      <c r="F64" s="46">
        <f t="shared" si="7"/>
        <v>0</v>
      </c>
      <c r="G64" s="336">
        <f t="shared" si="8"/>
        <v>12547.723602114824</v>
      </c>
      <c r="H64" s="436"/>
      <c r="I64" s="436"/>
      <c r="J64" s="436"/>
      <c r="K64" s="436"/>
      <c r="L64" s="436"/>
      <c r="M64" s="436"/>
      <c r="N64" s="436"/>
    </row>
    <row r="65" spans="2:12" ht="12.75" customHeight="1">
      <c r="B65" s="448" t="s">
        <v>182</v>
      </c>
      <c r="C65" s="448"/>
      <c r="D65" s="337">
        <f>SUM(D61:D64)</f>
        <v>22</v>
      </c>
      <c r="E65" s="337">
        <f>SUM(E61:E64)</f>
        <v>266</v>
      </c>
      <c r="F65" s="338">
        <f>SUM(F61:F64)</f>
        <v>48377.425174646567</v>
      </c>
      <c r="G65" s="338">
        <f>SUM(G61:G64)</f>
        <v>208605.90488515899</v>
      </c>
      <c r="H65" s="436"/>
      <c r="I65" s="436"/>
      <c r="J65" s="436"/>
      <c r="K65" s="436"/>
      <c r="L65" s="436"/>
    </row>
    <row r="66" spans="2:12" ht="12.75" customHeight="1">
      <c r="B66" s="339"/>
      <c r="C66" s="339"/>
      <c r="D66" s="340"/>
      <c r="E66" s="340"/>
      <c r="F66" s="341"/>
      <c r="G66" s="341"/>
      <c r="H66" s="436"/>
      <c r="I66" s="436"/>
      <c r="J66" s="436"/>
      <c r="K66" s="436"/>
      <c r="L66" s="436"/>
    </row>
    <row r="67" spans="2:12" ht="12.75" customHeight="1">
      <c r="B67" s="363" t="s">
        <v>312</v>
      </c>
      <c r="C67" s="339"/>
      <c r="D67" s="340"/>
      <c r="E67" s="340"/>
      <c r="F67" s="341"/>
      <c r="G67" s="341"/>
      <c r="H67" s="436"/>
      <c r="I67" s="436"/>
      <c r="J67" s="436"/>
      <c r="K67" s="436"/>
      <c r="L67" s="436"/>
    </row>
    <row r="68" spans="2:12" ht="23.45" customHeight="1">
      <c r="B68" s="363" t="s">
        <v>313</v>
      </c>
      <c r="C68" s="339"/>
      <c r="D68" s="340"/>
      <c r="E68" s="340"/>
      <c r="F68" s="341"/>
      <c r="G68" s="341"/>
      <c r="H68" s="436"/>
      <c r="I68" s="436"/>
      <c r="J68" s="436"/>
      <c r="K68" s="436"/>
      <c r="L68" s="436"/>
    </row>
    <row r="69" spans="2:12" ht="12.75" customHeight="1">
      <c r="B69" s="363"/>
      <c r="C69" s="339"/>
      <c r="D69" s="340"/>
      <c r="E69" s="340"/>
      <c r="F69" s="341"/>
      <c r="G69" s="341"/>
      <c r="H69" s="436"/>
      <c r="I69" s="436"/>
      <c r="J69" s="436"/>
      <c r="K69" s="436"/>
      <c r="L69" s="436"/>
    </row>
    <row r="70" spans="2:12" ht="28.15" customHeight="1">
      <c r="B70" s="506" t="s">
        <v>170</v>
      </c>
      <c r="C70" s="506"/>
      <c r="D70" s="506" t="s">
        <v>314</v>
      </c>
      <c r="E70" s="502" t="s">
        <v>315</v>
      </c>
      <c r="F70" s="502"/>
      <c r="G70" s="502" t="s">
        <v>316</v>
      </c>
      <c r="H70" s="502"/>
      <c r="I70" s="502" t="s">
        <v>317</v>
      </c>
      <c r="J70" s="502"/>
      <c r="K70" s="436"/>
      <c r="L70" s="436"/>
    </row>
    <row r="71" spans="2:12" ht="14.45" customHeight="1">
      <c r="B71" s="506"/>
      <c r="C71" s="506"/>
      <c r="D71" s="506"/>
      <c r="E71" s="438" t="s">
        <v>310</v>
      </c>
      <c r="F71" s="438" t="s">
        <v>311</v>
      </c>
      <c r="G71" s="438" t="s">
        <v>310</v>
      </c>
      <c r="H71" s="438" t="s">
        <v>311</v>
      </c>
      <c r="I71" s="438" t="s">
        <v>310</v>
      </c>
      <c r="J71" s="438" t="s">
        <v>311</v>
      </c>
      <c r="K71" s="436"/>
      <c r="L71" s="436"/>
    </row>
    <row r="72" spans="2:12" ht="12.75" customHeight="1">
      <c r="B72" s="499" t="s">
        <v>178</v>
      </c>
      <c r="C72" s="499"/>
      <c r="D72" s="435">
        <v>4</v>
      </c>
      <c r="E72" s="342">
        <f>F61/D72</f>
        <v>11544.61282576793</v>
      </c>
      <c r="F72" s="342">
        <f>G61/D72</f>
        <v>36858.938081212298</v>
      </c>
      <c r="G72" s="342">
        <f>E72/2</f>
        <v>5772.3064128839651</v>
      </c>
      <c r="H72" s="342">
        <f>F72/2</f>
        <v>18429.469040606149</v>
      </c>
      <c r="I72" s="342">
        <f t="shared" ref="I72:J75" si="9">F61-G72</f>
        <v>40406.144890187759</v>
      </c>
      <c r="J72" s="342">
        <f t="shared" si="9"/>
        <v>129006.28328424305</v>
      </c>
      <c r="K72" s="436"/>
      <c r="L72" s="436"/>
    </row>
    <row r="73" spans="2:12" ht="12.75" customHeight="1">
      <c r="B73" s="499" t="s">
        <v>179</v>
      </c>
      <c r="C73" s="499"/>
      <c r="D73" s="435">
        <v>1</v>
      </c>
      <c r="E73" s="342">
        <f>F62/D73</f>
        <v>0</v>
      </c>
      <c r="F73" s="342">
        <f>G62/D73</f>
        <v>21174.283578568764</v>
      </c>
      <c r="G73" s="342">
        <f t="shared" ref="G73:G75" si="10">E73/2</f>
        <v>0</v>
      </c>
      <c r="H73" s="342">
        <f t="shared" ref="H73:H75" si="11">F73/2</f>
        <v>10587.141789284382</v>
      </c>
      <c r="I73" s="342">
        <f t="shared" si="9"/>
        <v>0</v>
      </c>
      <c r="J73" s="342">
        <f t="shared" si="9"/>
        <v>10587.141789284382</v>
      </c>
      <c r="K73" s="436"/>
      <c r="L73" s="436"/>
    </row>
    <row r="74" spans="2:12" ht="25.9" customHeight="1">
      <c r="B74" s="449" t="s">
        <v>180</v>
      </c>
      <c r="C74" s="449"/>
      <c r="D74" s="435">
        <v>3</v>
      </c>
      <c r="E74" s="342">
        <f>F63/D74</f>
        <v>732.991290524948</v>
      </c>
      <c r="F74" s="342">
        <f>G63/D74</f>
        <v>9149.3817932087259</v>
      </c>
      <c r="G74" s="342">
        <f t="shared" si="10"/>
        <v>366.495645262474</v>
      </c>
      <c r="H74" s="342">
        <f t="shared" si="11"/>
        <v>4574.6908966043629</v>
      </c>
      <c r="I74" s="342">
        <f t="shared" si="9"/>
        <v>1832.47822631237</v>
      </c>
      <c r="J74" s="342">
        <f t="shared" si="9"/>
        <v>22873.454483021815</v>
      </c>
      <c r="K74" s="436"/>
      <c r="L74"/>
    </row>
    <row r="75" spans="2:12" ht="12.75" customHeight="1">
      <c r="B75" s="499" t="s">
        <v>181</v>
      </c>
      <c r="C75" s="499"/>
      <c r="D75" s="435">
        <v>2</v>
      </c>
      <c r="E75" s="342">
        <f>F64/D75</f>
        <v>0</v>
      </c>
      <c r="F75" s="342">
        <f>G64/D75</f>
        <v>6273.8618010574119</v>
      </c>
      <c r="G75" s="342">
        <f t="shared" si="10"/>
        <v>0</v>
      </c>
      <c r="H75" s="342">
        <f t="shared" si="11"/>
        <v>3136.9309005287059</v>
      </c>
      <c r="I75" s="342">
        <f t="shared" si="9"/>
        <v>0</v>
      </c>
      <c r="J75" s="342">
        <f t="shared" si="9"/>
        <v>9410.7927015861169</v>
      </c>
      <c r="K75" s="436"/>
      <c r="L75" s="436"/>
    </row>
    <row r="76" spans="2:12" ht="12.75" customHeight="1">
      <c r="B76" s="448" t="s">
        <v>182</v>
      </c>
      <c r="C76" s="448"/>
      <c r="D76" s="317"/>
      <c r="E76" s="338">
        <f t="shared" ref="E76:H76" si="12">SUM(E72:E75)</f>
        <v>12277.604116292878</v>
      </c>
      <c r="F76" s="338">
        <f t="shared" si="12"/>
        <v>73456.465254047202</v>
      </c>
      <c r="G76" s="338">
        <f t="shared" si="12"/>
        <v>6138.8020581464389</v>
      </c>
      <c r="H76" s="338">
        <f t="shared" si="12"/>
        <v>36728.232627023601</v>
      </c>
      <c r="I76" s="338">
        <f t="shared" ref="I76" si="13">SUM(I72:I75)</f>
        <v>42238.62311650013</v>
      </c>
      <c r="J76" s="338">
        <f t="shared" ref="J76" si="14">SUM(J72:J75)</f>
        <v>171877.67225813537</v>
      </c>
      <c r="K76" s="436"/>
      <c r="L76" s="436"/>
    </row>
    <row r="77" spans="2:12" ht="12.75" customHeight="1">
      <c r="H77" s="436"/>
      <c r="I77" s="436"/>
      <c r="J77" s="436"/>
      <c r="K77" s="436"/>
      <c r="L77" s="436"/>
    </row>
    <row r="78" spans="2:12" ht="12.75" customHeight="1">
      <c r="H78" s="436"/>
      <c r="I78" s="436"/>
      <c r="J78" s="436"/>
      <c r="K78" s="436"/>
      <c r="L78" s="436"/>
    </row>
    <row r="79" spans="2:12" ht="12.75" customHeight="1">
      <c r="B79" s="3" t="s">
        <v>318</v>
      </c>
      <c r="H79" s="436"/>
      <c r="I79" s="436"/>
      <c r="J79" s="436"/>
      <c r="K79" s="436"/>
      <c r="L79" s="436"/>
    </row>
    <row r="80" spans="2:12" ht="22.9" customHeight="1">
      <c r="B80" s="3" t="s">
        <v>319</v>
      </c>
      <c r="H80" s="436"/>
      <c r="I80" s="436"/>
      <c r="J80" s="436"/>
      <c r="K80" s="436"/>
      <c r="L80" s="436"/>
    </row>
    <row r="81" spans="2:7" ht="12.75" customHeight="1"/>
    <row r="82" spans="2:7" ht="24" customHeight="1">
      <c r="B82" s="3" t="s">
        <v>320</v>
      </c>
    </row>
    <row r="83" spans="2:7" ht="27.6" customHeight="1">
      <c r="B83" s="3" t="s">
        <v>321</v>
      </c>
    </row>
    <row r="84" spans="2:7" ht="12.75" customHeight="1"/>
    <row r="85" spans="2:7" ht="12.75" customHeight="1"/>
    <row r="86" spans="2:7" ht="12.75" customHeight="1">
      <c r="B86" s="3" t="s">
        <v>183</v>
      </c>
    </row>
    <row r="87" spans="2:7" ht="12.75" customHeight="1">
      <c r="B87" s="502" t="s">
        <v>189</v>
      </c>
      <c r="C87" s="503"/>
      <c r="D87" s="507" t="s">
        <v>190</v>
      </c>
      <c r="E87" s="508"/>
      <c r="F87" s="511" t="s">
        <v>308</v>
      </c>
      <c r="G87" s="511"/>
    </row>
    <row r="88" spans="2:7" ht="12.75" customHeight="1">
      <c r="B88" s="503"/>
      <c r="C88" s="503"/>
      <c r="D88" s="509"/>
      <c r="E88" s="510"/>
      <c r="F88" s="511"/>
      <c r="G88" s="511"/>
    </row>
    <row r="89" spans="2:7" ht="16.149999999999999" customHeight="1">
      <c r="B89" s="503"/>
      <c r="C89" s="503"/>
      <c r="D89" s="345" t="s">
        <v>322</v>
      </c>
      <c r="E89" s="345" t="s">
        <v>323</v>
      </c>
      <c r="F89" s="438" t="s">
        <v>310</v>
      </c>
      <c r="G89" s="438" t="s">
        <v>311</v>
      </c>
    </row>
    <row r="90" spans="2:7" ht="12.75" customHeight="1">
      <c r="B90" s="93">
        <v>1</v>
      </c>
      <c r="C90" s="94" t="s">
        <v>192</v>
      </c>
      <c r="D90" s="95">
        <v>18</v>
      </c>
      <c r="E90" s="95">
        <v>4</v>
      </c>
      <c r="F90" s="95">
        <v>1</v>
      </c>
      <c r="G90" s="95">
        <f>D90-F90</f>
        <v>17</v>
      </c>
    </row>
    <row r="91" spans="2:7" ht="12.75" customHeight="1">
      <c r="B91" s="92">
        <v>2</v>
      </c>
      <c r="C91" s="83" t="s">
        <v>197</v>
      </c>
      <c r="D91" s="85">
        <v>2</v>
      </c>
      <c r="E91" s="85">
        <v>4</v>
      </c>
      <c r="F91" s="85">
        <v>1</v>
      </c>
      <c r="G91" s="85">
        <f t="shared" ref="G91:G140" si="15">D91-F91</f>
        <v>1</v>
      </c>
    </row>
    <row r="92" spans="2:7" ht="25.5">
      <c r="B92" s="91">
        <v>4</v>
      </c>
      <c r="C92" s="82" t="s">
        <v>199</v>
      </c>
      <c r="D92" s="84">
        <v>2</v>
      </c>
      <c r="E92" s="95">
        <v>4</v>
      </c>
      <c r="F92" s="84">
        <v>1</v>
      </c>
      <c r="G92" s="84">
        <f t="shared" si="15"/>
        <v>1</v>
      </c>
    </row>
    <row r="93" spans="2:7">
      <c r="B93" s="92">
        <v>5</v>
      </c>
      <c r="C93" s="83" t="s">
        <v>200</v>
      </c>
      <c r="D93" s="85">
        <v>4</v>
      </c>
      <c r="E93" s="85">
        <v>4</v>
      </c>
      <c r="F93" s="85">
        <v>1</v>
      </c>
      <c r="G93" s="85">
        <f t="shared" si="15"/>
        <v>3</v>
      </c>
    </row>
    <row r="94" spans="2:7">
      <c r="B94" s="91">
        <v>6</v>
      </c>
      <c r="C94" s="82" t="s">
        <v>201</v>
      </c>
      <c r="D94" s="84">
        <v>1</v>
      </c>
      <c r="E94" s="95">
        <v>3</v>
      </c>
      <c r="F94" s="84">
        <v>0</v>
      </c>
      <c r="G94" s="84">
        <f t="shared" si="15"/>
        <v>1</v>
      </c>
    </row>
    <row r="95" spans="2:7">
      <c r="B95" s="92">
        <v>7</v>
      </c>
      <c r="C95" s="83" t="s">
        <v>202</v>
      </c>
      <c r="D95" s="85">
        <v>1</v>
      </c>
      <c r="E95" s="85">
        <v>4</v>
      </c>
      <c r="F95" s="85">
        <v>0</v>
      </c>
      <c r="G95" s="85">
        <f t="shared" si="15"/>
        <v>1</v>
      </c>
    </row>
    <row r="96" spans="2:7">
      <c r="B96" s="91">
        <v>8</v>
      </c>
      <c r="C96" s="82" t="s">
        <v>203</v>
      </c>
      <c r="D96" s="84">
        <v>1</v>
      </c>
      <c r="E96" s="95">
        <v>4</v>
      </c>
      <c r="F96" s="84">
        <v>0</v>
      </c>
      <c r="G96" s="84">
        <f t="shared" si="15"/>
        <v>1</v>
      </c>
    </row>
    <row r="97" spans="2:7" ht="25.5">
      <c r="B97" s="92">
        <v>9</v>
      </c>
      <c r="C97" s="83" t="s">
        <v>204</v>
      </c>
      <c r="D97" s="85">
        <v>1</v>
      </c>
      <c r="E97" s="85">
        <v>4</v>
      </c>
      <c r="F97" s="85">
        <v>1</v>
      </c>
      <c r="G97" s="85">
        <f t="shared" si="15"/>
        <v>0</v>
      </c>
    </row>
    <row r="98" spans="2:7">
      <c r="B98" s="91">
        <v>10</v>
      </c>
      <c r="C98" s="82" t="s">
        <v>205</v>
      </c>
      <c r="D98" s="84">
        <v>1</v>
      </c>
      <c r="E98" s="95">
        <v>3</v>
      </c>
      <c r="F98" s="84">
        <v>0</v>
      </c>
      <c r="G98" s="84">
        <f t="shared" si="15"/>
        <v>1</v>
      </c>
    </row>
    <row r="99" spans="2:7">
      <c r="B99" s="92">
        <v>11</v>
      </c>
      <c r="C99" s="83" t="s">
        <v>206</v>
      </c>
      <c r="D99" s="85">
        <v>1</v>
      </c>
      <c r="E99" s="85">
        <v>4</v>
      </c>
      <c r="F99" s="85">
        <v>1</v>
      </c>
      <c r="G99" s="85">
        <f t="shared" si="15"/>
        <v>0</v>
      </c>
    </row>
    <row r="100" spans="2:7">
      <c r="B100" s="91">
        <v>12</v>
      </c>
      <c r="C100" s="82" t="s">
        <v>207</v>
      </c>
      <c r="D100" s="84">
        <v>1</v>
      </c>
      <c r="E100" s="95">
        <v>4</v>
      </c>
      <c r="F100" s="84">
        <v>0</v>
      </c>
      <c r="G100" s="84">
        <f t="shared" si="15"/>
        <v>1</v>
      </c>
    </row>
    <row r="101" spans="2:7">
      <c r="B101" s="92">
        <v>13</v>
      </c>
      <c r="C101" s="83" t="s">
        <v>208</v>
      </c>
      <c r="D101" s="85">
        <v>25</v>
      </c>
      <c r="E101" s="85">
        <v>4</v>
      </c>
      <c r="F101" s="85">
        <v>1</v>
      </c>
      <c r="G101" s="85">
        <f t="shared" si="15"/>
        <v>24</v>
      </c>
    </row>
    <row r="102" spans="2:7">
      <c r="B102" s="91">
        <v>14</v>
      </c>
      <c r="C102" s="82" t="s">
        <v>209</v>
      </c>
      <c r="D102" s="84">
        <v>1</v>
      </c>
      <c r="E102" s="95">
        <v>4</v>
      </c>
      <c r="F102" s="84">
        <v>1</v>
      </c>
      <c r="G102" s="84">
        <f t="shared" si="15"/>
        <v>0</v>
      </c>
    </row>
    <row r="103" spans="2:7" ht="25.5">
      <c r="B103" s="92">
        <v>15</v>
      </c>
      <c r="C103" s="83" t="s">
        <v>210</v>
      </c>
      <c r="D103" s="85">
        <v>27</v>
      </c>
      <c r="E103" s="85">
        <v>1</v>
      </c>
      <c r="F103" s="85">
        <v>0</v>
      </c>
      <c r="G103" s="85">
        <f t="shared" si="15"/>
        <v>27</v>
      </c>
    </row>
    <row r="104" spans="2:7">
      <c r="B104" s="91">
        <v>16</v>
      </c>
      <c r="C104" s="82" t="s">
        <v>211</v>
      </c>
      <c r="D104" s="84">
        <v>1</v>
      </c>
      <c r="E104" s="95">
        <v>4</v>
      </c>
      <c r="F104" s="84">
        <v>0</v>
      </c>
      <c r="G104" s="84">
        <f t="shared" si="15"/>
        <v>1</v>
      </c>
    </row>
    <row r="105" spans="2:7" ht="25.5">
      <c r="B105" s="92">
        <v>17</v>
      </c>
      <c r="C105" s="83" t="s">
        <v>212</v>
      </c>
      <c r="D105" s="85">
        <v>2</v>
      </c>
      <c r="E105" s="85">
        <v>4</v>
      </c>
      <c r="F105" s="85">
        <v>1</v>
      </c>
      <c r="G105" s="85">
        <f t="shared" si="15"/>
        <v>1</v>
      </c>
    </row>
    <row r="106" spans="2:7">
      <c r="B106" s="91">
        <v>18</v>
      </c>
      <c r="C106" s="82" t="s">
        <v>213</v>
      </c>
      <c r="D106" s="84">
        <v>1</v>
      </c>
      <c r="E106" s="95">
        <v>4</v>
      </c>
      <c r="F106" s="84">
        <v>0</v>
      </c>
      <c r="G106" s="84">
        <f t="shared" si="15"/>
        <v>1</v>
      </c>
    </row>
    <row r="107" spans="2:7" ht="25.5">
      <c r="B107" s="92">
        <v>19</v>
      </c>
      <c r="C107" s="83" t="s">
        <v>214</v>
      </c>
      <c r="D107" s="85"/>
      <c r="E107" s="85">
        <v>4</v>
      </c>
      <c r="F107" s="85"/>
      <c r="G107" s="85">
        <f t="shared" si="15"/>
        <v>0</v>
      </c>
    </row>
    <row r="108" spans="2:7">
      <c r="B108" s="177">
        <v>20</v>
      </c>
      <c r="C108" s="178" t="s">
        <v>215</v>
      </c>
      <c r="D108" s="179">
        <v>27</v>
      </c>
      <c r="E108" s="180">
        <v>4</v>
      </c>
      <c r="F108" s="179">
        <v>1</v>
      </c>
      <c r="G108" s="179">
        <f t="shared" si="15"/>
        <v>26</v>
      </c>
    </row>
    <row r="109" spans="2:7">
      <c r="B109" s="92">
        <v>21</v>
      </c>
      <c r="C109" s="83" t="s">
        <v>216</v>
      </c>
      <c r="D109" s="85">
        <v>1</v>
      </c>
      <c r="E109" s="85">
        <v>4</v>
      </c>
      <c r="F109" s="85">
        <v>1</v>
      </c>
      <c r="G109" s="85">
        <f t="shared" si="15"/>
        <v>0</v>
      </c>
    </row>
    <row r="110" spans="2:7">
      <c r="B110" s="91">
        <v>22</v>
      </c>
      <c r="C110" s="82" t="s">
        <v>217</v>
      </c>
      <c r="D110" s="84">
        <v>1</v>
      </c>
      <c r="E110" s="95">
        <v>4</v>
      </c>
      <c r="F110" s="84">
        <v>0</v>
      </c>
      <c r="G110" s="84">
        <f t="shared" si="15"/>
        <v>1</v>
      </c>
    </row>
    <row r="111" spans="2:7">
      <c r="B111" s="92">
        <v>23</v>
      </c>
      <c r="C111" s="83" t="s">
        <v>218</v>
      </c>
      <c r="D111" s="85">
        <v>1</v>
      </c>
      <c r="E111" s="85">
        <v>4</v>
      </c>
      <c r="F111" s="85">
        <v>0</v>
      </c>
      <c r="G111" s="85">
        <f t="shared" si="15"/>
        <v>1</v>
      </c>
    </row>
    <row r="112" spans="2:7">
      <c r="B112" s="91">
        <v>24</v>
      </c>
      <c r="C112" s="82" t="s">
        <v>219</v>
      </c>
      <c r="D112" s="84">
        <v>4</v>
      </c>
      <c r="E112" s="95">
        <v>3</v>
      </c>
      <c r="F112" s="84">
        <v>1</v>
      </c>
      <c r="G112" s="84">
        <f t="shared" si="15"/>
        <v>3</v>
      </c>
    </row>
    <row r="113" spans="2:7">
      <c r="B113" s="92">
        <v>25</v>
      </c>
      <c r="C113" s="83" t="s">
        <v>220</v>
      </c>
      <c r="D113" s="85">
        <v>30</v>
      </c>
      <c r="E113" s="85">
        <v>3</v>
      </c>
      <c r="F113" s="85">
        <v>0</v>
      </c>
      <c r="G113" s="85">
        <f t="shared" si="15"/>
        <v>30</v>
      </c>
    </row>
    <row r="114" spans="2:7" ht="25.5">
      <c r="B114" s="91">
        <v>26</v>
      </c>
      <c r="C114" s="82" t="s">
        <v>221</v>
      </c>
      <c r="D114" s="84">
        <v>15</v>
      </c>
      <c r="E114" s="95">
        <v>2</v>
      </c>
      <c r="F114" s="84">
        <v>0</v>
      </c>
      <c r="G114" s="84">
        <f t="shared" si="15"/>
        <v>15</v>
      </c>
    </row>
    <row r="115" spans="2:7" ht="25.5">
      <c r="B115" s="92">
        <v>30</v>
      </c>
      <c r="C115" s="83" t="s">
        <v>225</v>
      </c>
      <c r="D115" s="85">
        <v>1</v>
      </c>
      <c r="E115" s="85">
        <v>2</v>
      </c>
      <c r="F115" s="85">
        <v>0</v>
      </c>
      <c r="G115" s="85">
        <f t="shared" si="15"/>
        <v>1</v>
      </c>
    </row>
    <row r="116" spans="2:7" ht="25.5">
      <c r="B116" s="91">
        <v>31</v>
      </c>
      <c r="C116" s="82" t="s">
        <v>226</v>
      </c>
      <c r="D116" s="84">
        <v>6</v>
      </c>
      <c r="E116" s="95">
        <v>4</v>
      </c>
      <c r="F116" s="84">
        <v>1</v>
      </c>
      <c r="G116" s="84">
        <f t="shared" si="15"/>
        <v>5</v>
      </c>
    </row>
    <row r="117" spans="2:7">
      <c r="B117" s="92">
        <v>32</v>
      </c>
      <c r="C117" s="83" t="s">
        <v>227</v>
      </c>
      <c r="D117" s="85">
        <v>18</v>
      </c>
      <c r="E117" s="85">
        <v>4</v>
      </c>
      <c r="F117" s="85">
        <v>1</v>
      </c>
      <c r="G117" s="85">
        <f t="shared" si="15"/>
        <v>17</v>
      </c>
    </row>
    <row r="118" spans="2:7" ht="25.5">
      <c r="B118" s="91">
        <v>33</v>
      </c>
      <c r="C118" s="82" t="s">
        <v>228</v>
      </c>
      <c r="D118" s="84">
        <v>10</v>
      </c>
      <c r="E118" s="95">
        <v>4</v>
      </c>
      <c r="F118" s="84">
        <v>0</v>
      </c>
      <c r="G118" s="84">
        <f t="shared" si="15"/>
        <v>10</v>
      </c>
    </row>
    <row r="119" spans="2:7">
      <c r="B119" s="92">
        <v>34</v>
      </c>
      <c r="C119" s="83" t="s">
        <v>229</v>
      </c>
      <c r="D119" s="85">
        <v>2</v>
      </c>
      <c r="E119" s="85">
        <v>4</v>
      </c>
      <c r="F119" s="85">
        <v>0</v>
      </c>
      <c r="G119" s="85">
        <f t="shared" si="15"/>
        <v>2</v>
      </c>
    </row>
    <row r="120" spans="2:7">
      <c r="B120" s="91">
        <v>35</v>
      </c>
      <c r="C120" s="82" t="s">
        <v>230</v>
      </c>
      <c r="D120" s="84">
        <v>2</v>
      </c>
      <c r="E120" s="95">
        <v>4</v>
      </c>
      <c r="F120" s="84">
        <v>0</v>
      </c>
      <c r="G120" s="84">
        <f t="shared" si="15"/>
        <v>2</v>
      </c>
    </row>
    <row r="121" spans="2:7" ht="25.5">
      <c r="B121" s="92">
        <v>36</v>
      </c>
      <c r="C121" s="83" t="s">
        <v>231</v>
      </c>
      <c r="D121" s="85">
        <v>5</v>
      </c>
      <c r="E121" s="85">
        <v>4</v>
      </c>
      <c r="F121" s="85">
        <v>0</v>
      </c>
      <c r="G121" s="85">
        <f t="shared" si="15"/>
        <v>5</v>
      </c>
    </row>
    <row r="122" spans="2:7">
      <c r="B122" s="91">
        <v>37</v>
      </c>
      <c r="C122" s="82" t="s">
        <v>232</v>
      </c>
      <c r="D122" s="84">
        <v>7</v>
      </c>
      <c r="E122" s="95">
        <v>4</v>
      </c>
      <c r="F122" s="84">
        <v>1</v>
      </c>
      <c r="G122" s="84">
        <f t="shared" si="15"/>
        <v>6</v>
      </c>
    </row>
    <row r="123" spans="2:7">
      <c r="B123" s="92">
        <v>38</v>
      </c>
      <c r="C123" s="83" t="s">
        <v>233</v>
      </c>
      <c r="D123" s="85">
        <v>3</v>
      </c>
      <c r="E123" s="85">
        <v>4</v>
      </c>
      <c r="F123" s="85">
        <v>0</v>
      </c>
      <c r="G123" s="85">
        <f t="shared" si="15"/>
        <v>3</v>
      </c>
    </row>
    <row r="124" spans="2:7">
      <c r="B124" s="91">
        <v>39</v>
      </c>
      <c r="C124" s="82" t="s">
        <v>234</v>
      </c>
      <c r="D124" s="84">
        <v>3</v>
      </c>
      <c r="E124" s="95">
        <v>4</v>
      </c>
      <c r="F124" s="84">
        <v>0</v>
      </c>
      <c r="G124" s="84">
        <f t="shared" si="15"/>
        <v>3</v>
      </c>
    </row>
    <row r="125" spans="2:7" ht="25.5">
      <c r="B125" s="92">
        <v>40</v>
      </c>
      <c r="C125" s="83" t="s">
        <v>235</v>
      </c>
      <c r="D125" s="85">
        <v>3</v>
      </c>
      <c r="E125" s="85">
        <v>4</v>
      </c>
      <c r="F125" s="85">
        <v>0</v>
      </c>
      <c r="G125" s="85">
        <f t="shared" si="15"/>
        <v>3</v>
      </c>
    </row>
    <row r="126" spans="2:7">
      <c r="B126" s="91">
        <v>41</v>
      </c>
      <c r="C126" s="82" t="s">
        <v>236</v>
      </c>
      <c r="D126" s="84">
        <v>1</v>
      </c>
      <c r="E126" s="95">
        <v>4</v>
      </c>
      <c r="F126" s="84">
        <v>0</v>
      </c>
      <c r="G126" s="84">
        <f t="shared" si="15"/>
        <v>1</v>
      </c>
    </row>
    <row r="127" spans="2:7" ht="25.5">
      <c r="B127" s="92">
        <v>42</v>
      </c>
      <c r="C127" s="83" t="s">
        <v>237</v>
      </c>
      <c r="D127" s="85">
        <v>4</v>
      </c>
      <c r="E127" s="85">
        <v>4</v>
      </c>
      <c r="F127" s="85">
        <v>1</v>
      </c>
      <c r="G127" s="85">
        <f t="shared" si="15"/>
        <v>3</v>
      </c>
    </row>
    <row r="128" spans="2:7" ht="25.5">
      <c r="B128" s="91">
        <v>43</v>
      </c>
      <c r="C128" s="82" t="s">
        <v>238</v>
      </c>
      <c r="D128" s="84">
        <v>1</v>
      </c>
      <c r="E128" s="95">
        <v>4</v>
      </c>
      <c r="F128" s="84">
        <v>0</v>
      </c>
      <c r="G128" s="84">
        <f t="shared" si="15"/>
        <v>1</v>
      </c>
    </row>
    <row r="129" spans="2:7">
      <c r="B129" s="92">
        <v>44</v>
      </c>
      <c r="C129" s="83" t="s">
        <v>239</v>
      </c>
      <c r="D129" s="85">
        <v>1</v>
      </c>
      <c r="E129" s="85">
        <v>4</v>
      </c>
      <c r="F129" s="85">
        <v>0</v>
      </c>
      <c r="G129" s="85">
        <f t="shared" si="15"/>
        <v>1</v>
      </c>
    </row>
    <row r="130" spans="2:7">
      <c r="B130" s="91">
        <v>45</v>
      </c>
      <c r="C130" s="82" t="s">
        <v>240</v>
      </c>
      <c r="D130" s="84">
        <v>5</v>
      </c>
      <c r="E130" s="95">
        <v>4</v>
      </c>
      <c r="F130" s="84">
        <v>0</v>
      </c>
      <c r="G130" s="84">
        <f t="shared" si="15"/>
        <v>5</v>
      </c>
    </row>
    <row r="131" spans="2:7">
      <c r="B131" s="92">
        <v>46</v>
      </c>
      <c r="C131" s="83" t="s">
        <v>241</v>
      </c>
      <c r="D131" s="85">
        <v>1</v>
      </c>
      <c r="E131" s="85">
        <v>4</v>
      </c>
      <c r="F131" s="85">
        <v>1</v>
      </c>
      <c r="G131" s="85">
        <f t="shared" si="15"/>
        <v>0</v>
      </c>
    </row>
    <row r="132" spans="2:7">
      <c r="B132" s="91">
        <v>47</v>
      </c>
      <c r="C132" s="82" t="s">
        <v>242</v>
      </c>
      <c r="D132" s="84">
        <v>1</v>
      </c>
      <c r="E132" s="95">
        <v>4</v>
      </c>
      <c r="F132" s="84">
        <v>0</v>
      </c>
      <c r="G132" s="84">
        <f t="shared" si="15"/>
        <v>1</v>
      </c>
    </row>
    <row r="133" spans="2:7">
      <c r="B133" s="92">
        <v>48</v>
      </c>
      <c r="C133" s="83" t="s">
        <v>243</v>
      </c>
      <c r="D133" s="85">
        <v>2</v>
      </c>
      <c r="E133" s="85">
        <v>4</v>
      </c>
      <c r="F133" s="85">
        <v>1</v>
      </c>
      <c r="G133" s="85">
        <f t="shared" si="15"/>
        <v>1</v>
      </c>
    </row>
    <row r="134" spans="2:7">
      <c r="B134" s="91">
        <v>49</v>
      </c>
      <c r="C134" s="82" t="s">
        <v>244</v>
      </c>
      <c r="D134" s="84">
        <v>1</v>
      </c>
      <c r="E134" s="95">
        <v>4</v>
      </c>
      <c r="F134" s="84">
        <v>0</v>
      </c>
      <c r="G134" s="84">
        <f t="shared" si="15"/>
        <v>1</v>
      </c>
    </row>
    <row r="135" spans="2:7">
      <c r="B135" s="92">
        <v>50</v>
      </c>
      <c r="C135" s="83" t="s">
        <v>245</v>
      </c>
      <c r="D135" s="85">
        <v>4</v>
      </c>
      <c r="E135" s="85">
        <v>4</v>
      </c>
      <c r="F135" s="85">
        <v>0</v>
      </c>
      <c r="G135" s="85">
        <f t="shared" si="15"/>
        <v>4</v>
      </c>
    </row>
    <row r="136" spans="2:7">
      <c r="B136" s="91">
        <v>51</v>
      </c>
      <c r="C136" s="82" t="s">
        <v>246</v>
      </c>
      <c r="D136" s="84">
        <v>1</v>
      </c>
      <c r="E136" s="95">
        <v>4</v>
      </c>
      <c r="F136" s="84">
        <v>0</v>
      </c>
      <c r="G136" s="84">
        <f t="shared" si="15"/>
        <v>1</v>
      </c>
    </row>
    <row r="137" spans="2:7" ht="25.5">
      <c r="B137" s="92">
        <v>52</v>
      </c>
      <c r="C137" s="83" t="s">
        <v>247</v>
      </c>
      <c r="D137" s="85">
        <v>20</v>
      </c>
      <c r="E137" s="85">
        <v>4</v>
      </c>
      <c r="F137" s="85">
        <v>1</v>
      </c>
      <c r="G137" s="85">
        <f t="shared" si="15"/>
        <v>19</v>
      </c>
    </row>
    <row r="138" spans="2:7">
      <c r="B138" s="91">
        <v>53</v>
      </c>
      <c r="C138" s="82" t="s">
        <v>248</v>
      </c>
      <c r="D138" s="84">
        <v>7</v>
      </c>
      <c r="E138" s="95">
        <v>4</v>
      </c>
      <c r="F138" s="84">
        <v>1</v>
      </c>
      <c r="G138" s="84">
        <f t="shared" si="15"/>
        <v>6</v>
      </c>
    </row>
    <row r="139" spans="2:7">
      <c r="B139" s="92">
        <v>54</v>
      </c>
      <c r="C139" s="83" t="s">
        <v>249</v>
      </c>
      <c r="D139" s="85">
        <v>5</v>
      </c>
      <c r="E139" s="85">
        <v>4</v>
      </c>
      <c r="F139" s="85">
        <v>1</v>
      </c>
      <c r="G139" s="85">
        <f t="shared" si="15"/>
        <v>4</v>
      </c>
    </row>
    <row r="140" spans="2:7">
      <c r="B140" s="100">
        <v>55</v>
      </c>
      <c r="C140" s="101" t="s">
        <v>250</v>
      </c>
      <c r="D140" s="102">
        <v>5</v>
      </c>
      <c r="E140" s="103">
        <v>4</v>
      </c>
      <c r="F140" s="102">
        <v>1</v>
      </c>
      <c r="G140" s="102">
        <f t="shared" si="15"/>
        <v>4</v>
      </c>
    </row>
    <row r="141" spans="2:7">
      <c r="B141" s="504" t="s">
        <v>182</v>
      </c>
      <c r="C141" s="505"/>
      <c r="D141" s="344">
        <f>SUM(D90:D140)</f>
        <v>288</v>
      </c>
      <c r="E141" s="343"/>
      <c r="F141" s="344">
        <f>SUM(F90:F140)</f>
        <v>22</v>
      </c>
      <c r="G141" s="362">
        <f>SUM(G90:G140)</f>
        <v>266</v>
      </c>
    </row>
  </sheetData>
  <mergeCells count="35">
    <mergeCell ref="C3:M4"/>
    <mergeCell ref="C6:L16"/>
    <mergeCell ref="B87:C89"/>
    <mergeCell ref="B141:C141"/>
    <mergeCell ref="B70:C71"/>
    <mergeCell ref="D70:D71"/>
    <mergeCell ref="B59:C60"/>
    <mergeCell ref="F59:G59"/>
    <mergeCell ref="E70:F70"/>
    <mergeCell ref="G70:H70"/>
    <mergeCell ref="I70:J70"/>
    <mergeCell ref="D87:E88"/>
    <mergeCell ref="F87:G88"/>
    <mergeCell ref="B73:C73"/>
    <mergeCell ref="B74:C74"/>
    <mergeCell ref="B75:C75"/>
    <mergeCell ref="B76:C76"/>
    <mergeCell ref="D59:E59"/>
    <mergeCell ref="B65:C65"/>
    <mergeCell ref="B72:C72"/>
    <mergeCell ref="B61:C61"/>
    <mergeCell ref="B62:C62"/>
    <mergeCell ref="B63:C63"/>
    <mergeCell ref="B64:C64"/>
    <mergeCell ref="K18:N18"/>
    <mergeCell ref="B31:C31"/>
    <mergeCell ref="H31:I32"/>
    <mergeCell ref="E31:E32"/>
    <mergeCell ref="F19:F20"/>
    <mergeCell ref="G19:G20"/>
    <mergeCell ref="F31:F32"/>
    <mergeCell ref="G31:G32"/>
    <mergeCell ref="B19:C19"/>
    <mergeCell ref="H19:I20"/>
    <mergeCell ref="E19:E20"/>
  </mergeCell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fitToPage="1"/>
  </sheetPr>
  <dimension ref="A1:M53"/>
  <sheetViews>
    <sheetView showGridLines="0" topLeftCell="B1" zoomScaleNormal="100" workbookViewId="0"/>
  </sheetViews>
  <sheetFormatPr defaultColWidth="0" defaultRowHeight="12.75"/>
  <cols>
    <col min="1" max="1" width="11.85546875" style="3" hidden="1" customWidth="1"/>
    <col min="2" max="2" width="11.85546875" style="3" customWidth="1"/>
    <col min="3" max="3" width="17.7109375" style="3" customWidth="1"/>
    <col min="4" max="4" width="18.140625" style="3" bestFit="1" customWidth="1"/>
    <col min="5" max="5" width="14.5703125" style="3" customWidth="1"/>
    <col min="6" max="6" width="10.85546875" style="3" customWidth="1"/>
    <col min="7" max="7" width="36.42578125" style="3" customWidth="1"/>
    <col min="8" max="9" width="9.140625" style="3" customWidth="1"/>
    <col min="10" max="16384" width="9.140625" style="3" hidden="1"/>
  </cols>
  <sheetData>
    <row r="1" spans="1:13" ht="13.15" customHeight="1"/>
    <row r="2" spans="1:13" ht="13.15" customHeight="1"/>
    <row r="3" spans="1:13" ht="13.15" customHeight="1">
      <c r="C3" s="466" t="s">
        <v>324</v>
      </c>
      <c r="D3" s="466"/>
      <c r="E3" s="466"/>
      <c r="F3" s="466"/>
      <c r="G3" s="466"/>
      <c r="H3" s="466"/>
      <c r="I3" s="312"/>
      <c r="J3" s="312"/>
      <c r="K3" s="312"/>
      <c r="L3" s="312"/>
      <c r="M3" s="312"/>
    </row>
    <row r="4" spans="1:13" ht="13.15" customHeight="1">
      <c r="C4" s="466"/>
      <c r="D4" s="466"/>
      <c r="E4" s="466"/>
      <c r="F4" s="466"/>
      <c r="G4" s="466"/>
      <c r="H4" s="466"/>
      <c r="I4" s="312"/>
      <c r="J4" s="312"/>
      <c r="K4" s="312"/>
      <c r="L4" s="312"/>
      <c r="M4" s="312"/>
    </row>
    <row r="5" spans="1:13" ht="13.15" customHeight="1"/>
    <row r="6" spans="1:13" ht="13.15" customHeight="1">
      <c r="C6" s="452" t="s">
        <v>325</v>
      </c>
      <c r="D6" s="487"/>
      <c r="E6" s="487"/>
      <c r="F6" s="487"/>
      <c r="G6" s="487"/>
      <c r="H6" s="487"/>
    </row>
    <row r="7" spans="1:13" ht="13.15" customHeight="1">
      <c r="C7" s="487"/>
      <c r="D7" s="487"/>
      <c r="E7" s="487"/>
      <c r="F7" s="487"/>
      <c r="G7" s="487"/>
      <c r="H7" s="487"/>
    </row>
    <row r="8" spans="1:13" ht="13.15" customHeight="1">
      <c r="C8" s="487"/>
      <c r="D8" s="487"/>
      <c r="E8" s="487"/>
      <c r="F8" s="487"/>
      <c r="G8" s="487"/>
      <c r="H8" s="487"/>
    </row>
    <row r="9" spans="1:13" ht="13.15" customHeight="1">
      <c r="C9" s="487"/>
      <c r="D9" s="487"/>
      <c r="E9" s="487"/>
      <c r="F9" s="487"/>
      <c r="G9" s="487"/>
      <c r="H9" s="487"/>
    </row>
    <row r="10" spans="1:13" ht="13.15" customHeight="1">
      <c r="C10" s="487"/>
      <c r="D10" s="487"/>
      <c r="E10" s="487"/>
      <c r="F10" s="487"/>
      <c r="G10" s="487"/>
      <c r="H10" s="487"/>
    </row>
    <row r="11" spans="1:13" ht="13.15" customHeight="1"/>
    <row r="12" spans="1:13" ht="13.15" customHeight="1"/>
    <row r="13" spans="1:13" ht="13.15" customHeight="1" thickBot="1"/>
    <row r="14" spans="1:13" ht="16.5" thickBot="1">
      <c r="A14" s="132"/>
      <c r="B14" s="150"/>
      <c r="C14" s="512" t="s">
        <v>326</v>
      </c>
      <c r="D14" s="513"/>
      <c r="E14" s="513"/>
      <c r="F14" s="513"/>
      <c r="G14" s="514"/>
    </row>
    <row r="15" spans="1:13" ht="9" customHeight="1" thickBot="1">
      <c r="A15" s="132"/>
      <c r="B15" s="150"/>
      <c r="C15" s="13"/>
      <c r="D15" s="14"/>
      <c r="E15" s="13"/>
      <c r="F15" s="18"/>
      <c r="G15" s="13"/>
    </row>
    <row r="16" spans="1:13" ht="13.5" thickBot="1">
      <c r="A16" s="12"/>
      <c r="B16" s="151"/>
      <c r="C16" s="138" t="s">
        <v>327</v>
      </c>
      <c r="D16" s="137" t="s">
        <v>263</v>
      </c>
      <c r="E16" s="137"/>
      <c r="F16" s="137" t="s">
        <v>328</v>
      </c>
      <c r="G16" s="139"/>
    </row>
    <row r="17" spans="1:7" ht="13.5" thickBot="1">
      <c r="C17" s="140" t="s">
        <v>329</v>
      </c>
      <c r="D17" s="141"/>
      <c r="E17" s="142"/>
      <c r="F17" s="143" t="s">
        <v>330</v>
      </c>
      <c r="G17" s="144"/>
    </row>
    <row r="18" spans="1:7">
      <c r="A18" s="28"/>
      <c r="D18" s="432"/>
    </row>
    <row r="19" spans="1:7" ht="13.5" thickBot="1">
      <c r="C19" s="146" t="s">
        <v>331</v>
      </c>
      <c r="D19" s="191">
        <f>D20*D21</f>
        <v>2367205.6827321327</v>
      </c>
      <c r="E19" s="145"/>
      <c r="F19" s="11"/>
      <c r="G19" s="11"/>
    </row>
    <row r="20" spans="1:7" ht="15">
      <c r="C20" s="11" t="s">
        <v>332</v>
      </c>
      <c r="D20" s="190">
        <f>D27</f>
        <v>118360284.13660663</v>
      </c>
      <c r="E20" s="145"/>
      <c r="F20" s="364" t="s">
        <v>333</v>
      </c>
      <c r="G20" s="11"/>
    </row>
    <row r="21" spans="1:7" ht="15">
      <c r="C21" s="11" t="s">
        <v>334</v>
      </c>
      <c r="D21" s="149">
        <f>'Custo de Capital'!D15</f>
        <v>0.02</v>
      </c>
      <c r="E21" s="145"/>
      <c r="F21" s="364" t="s">
        <v>335</v>
      </c>
      <c r="G21" s="11"/>
    </row>
    <row r="22" spans="1:7">
      <c r="C22" s="11"/>
      <c r="D22" s="130"/>
      <c r="E22" s="17"/>
    </row>
    <row r="23" spans="1:7" ht="13.5" thickBot="1">
      <c r="C23" s="146" t="s">
        <v>336</v>
      </c>
      <c r="D23" s="147"/>
      <c r="E23" s="13"/>
      <c r="F23" s="146" t="s">
        <v>337</v>
      </c>
      <c r="G23" s="148"/>
    </row>
    <row r="24" spans="1:7">
      <c r="C24" s="18"/>
      <c r="D24" s="14"/>
      <c r="E24" s="13"/>
      <c r="F24" s="13"/>
      <c r="G24" s="13"/>
    </row>
    <row r="25" spans="1:7" ht="17.25" customHeight="1">
      <c r="C25" s="18" t="s">
        <v>338</v>
      </c>
      <c r="D25" s="193">
        <f>Investimentos!G21</f>
        <v>165723110.60752857</v>
      </c>
      <c r="E25" s="19"/>
      <c r="F25" s="13" t="s">
        <v>339</v>
      </c>
    </row>
    <row r="26" spans="1:7" ht="9" customHeight="1">
      <c r="A26" s="28"/>
      <c r="C26" s="11" t="s">
        <v>340</v>
      </c>
      <c r="D26" s="190">
        <f>Investimentos!E58</f>
        <v>47362826.470921934</v>
      </c>
      <c r="E26" s="17"/>
      <c r="F26" s="3" t="s">
        <v>341</v>
      </c>
    </row>
    <row r="27" spans="1:7">
      <c r="C27" s="11" t="s">
        <v>332</v>
      </c>
      <c r="D27" s="190">
        <f>Investimentos!E93</f>
        <v>118360284.13660663</v>
      </c>
      <c r="E27" s="216"/>
      <c r="F27" s="3" t="s">
        <v>342</v>
      </c>
    </row>
    <row r="28" spans="1:7" ht="13.5" thickBot="1">
      <c r="C28" s="31" t="s">
        <v>343</v>
      </c>
      <c r="D28" s="194">
        <f>D19</f>
        <v>2367205.6827321327</v>
      </c>
      <c r="E28" s="30"/>
      <c r="F28" s="29" t="s">
        <v>344</v>
      </c>
      <c r="G28" s="29"/>
    </row>
    <row r="29" spans="1:7" ht="13.5" thickBot="1">
      <c r="D29" s="195"/>
    </row>
    <row r="30" spans="1:7" ht="13.5" thickBot="1">
      <c r="C30" s="140" t="s">
        <v>345</v>
      </c>
      <c r="D30" s="196"/>
      <c r="E30" s="142"/>
      <c r="F30" s="143" t="s">
        <v>346</v>
      </c>
      <c r="G30" s="144"/>
    </row>
    <row r="31" spans="1:7" ht="7.5" customHeight="1">
      <c r="C31" s="13"/>
      <c r="D31" s="197"/>
      <c r="F31" s="18"/>
      <c r="G31" s="13"/>
    </row>
    <row r="32" spans="1:7" ht="15">
      <c r="C32" s="11" t="s">
        <v>347</v>
      </c>
      <c r="D32" s="190">
        <f>SUM(Investimentos!L59:L91)</f>
        <v>3699077.5914610024</v>
      </c>
      <c r="E32" s="17"/>
      <c r="F32" s="402" t="s">
        <v>348</v>
      </c>
    </row>
    <row r="33" spans="1:7" ht="5.25" customHeight="1" thickBot="1">
      <c r="D33" s="195"/>
    </row>
    <row r="34" spans="1:7" ht="13.5" thickBot="1">
      <c r="C34" s="140" t="s">
        <v>349</v>
      </c>
      <c r="D34" s="196"/>
      <c r="E34" s="142"/>
      <c r="F34" s="143" t="s">
        <v>350</v>
      </c>
      <c r="G34" s="144"/>
    </row>
    <row r="35" spans="1:7" ht="6" customHeight="1">
      <c r="C35" s="13"/>
      <c r="D35" s="197"/>
      <c r="E35" s="15"/>
      <c r="F35" s="13"/>
      <c r="G35" s="13"/>
    </row>
    <row r="36" spans="1:7">
      <c r="C36" s="3" t="s">
        <v>331</v>
      </c>
      <c r="D36" s="190">
        <f>D28</f>
        <v>2367205.6827321327</v>
      </c>
      <c r="E36" s="16"/>
      <c r="F36" s="3" t="s">
        <v>351</v>
      </c>
    </row>
    <row r="37" spans="1:7">
      <c r="C37" s="3" t="s">
        <v>352</v>
      </c>
      <c r="D37" s="190">
        <f>D32</f>
        <v>3699077.5914610024</v>
      </c>
      <c r="E37" s="16"/>
      <c r="F37" s="3" t="s">
        <v>353</v>
      </c>
    </row>
    <row r="38" spans="1:7" ht="5.25" customHeight="1">
      <c r="D38" s="190"/>
      <c r="E38" s="16"/>
    </row>
    <row r="39" spans="1:7" ht="13.5" thickBot="1">
      <c r="A39" s="28"/>
      <c r="C39" s="29" t="s">
        <v>354</v>
      </c>
      <c r="D39" s="194">
        <f>SUM(D36:D37)</f>
        <v>6066283.2741931351</v>
      </c>
      <c r="E39" s="30"/>
      <c r="F39" s="29" t="s">
        <v>355</v>
      </c>
      <c r="G39" s="29"/>
    </row>
    <row r="40" spans="1:7">
      <c r="C40" s="13"/>
      <c r="D40" s="14"/>
      <c r="E40" s="13"/>
      <c r="F40" s="13"/>
      <c r="G40" s="13"/>
    </row>
    <row r="41" spans="1:7">
      <c r="C41" s="13"/>
      <c r="D41" s="128"/>
      <c r="E41" s="15"/>
      <c r="F41" s="13"/>
      <c r="G41" s="13"/>
    </row>
    <row r="42" spans="1:7">
      <c r="D42" s="129"/>
      <c r="E42" s="16"/>
    </row>
    <row r="43" spans="1:7">
      <c r="D43" s="129"/>
      <c r="E43" s="16"/>
    </row>
    <row r="44" spans="1:7" ht="13.5" thickBot="1">
      <c r="A44" s="29"/>
      <c r="B44" s="13"/>
    </row>
    <row r="45" spans="1:7">
      <c r="A45" s="5"/>
      <c r="C45" s="11"/>
      <c r="D45" s="129"/>
      <c r="E45" s="17"/>
    </row>
    <row r="46" spans="1:7">
      <c r="C46" s="11"/>
      <c r="D46" s="136"/>
      <c r="E46" s="17"/>
    </row>
    <row r="47" spans="1:7">
      <c r="C47" s="11"/>
      <c r="D47" s="130"/>
      <c r="E47" s="17"/>
    </row>
    <row r="48" spans="1:7">
      <c r="C48" s="18"/>
      <c r="D48" s="14"/>
      <c r="E48" s="13"/>
      <c r="F48" s="18"/>
      <c r="G48" s="13"/>
    </row>
    <row r="49" spans="3:7">
      <c r="C49" s="18"/>
      <c r="D49" s="14"/>
      <c r="E49" s="13"/>
      <c r="F49" s="13"/>
      <c r="G49" s="13"/>
    </row>
    <row r="50" spans="3:7">
      <c r="C50" s="18"/>
      <c r="D50" s="131"/>
      <c r="E50" s="19"/>
      <c r="F50" s="13"/>
    </row>
    <row r="51" spans="3:7">
      <c r="C51" s="11"/>
      <c r="D51" s="129"/>
      <c r="E51" s="17"/>
    </row>
    <row r="52" spans="3:7">
      <c r="C52" s="11"/>
      <c r="D52" s="129"/>
    </row>
    <row r="53" spans="3:7">
      <c r="C53" s="13"/>
      <c r="D53" s="131"/>
      <c r="E53" s="13"/>
      <c r="F53" s="18"/>
      <c r="G53" s="13"/>
    </row>
  </sheetData>
  <mergeCells count="3">
    <mergeCell ref="C14:G14"/>
    <mergeCell ref="C3:H4"/>
    <mergeCell ref="C6:H10"/>
  </mergeCells>
  <hyperlinks>
    <hyperlink ref="F21" location="'Custo de Capital'!A1" display="Custo de Capital - CCT" xr:uid="{AF2ED65E-E280-4549-9731-857F60CA8B9F}"/>
    <hyperlink ref="F20" location="Investimentos!A1" display="Base de Remuneração Líquida - BRL" xr:uid="{C06BAECC-BF8E-497C-A1DC-3060CD8C6559}"/>
    <hyperlink ref="F32" location="Investimentos!A1" display="Valor Total da Depreciação (anual)" xr:uid="{EC2F5BAD-69A6-439E-86E7-10447A82A97C}"/>
  </hyperlinks>
  <pageMargins left="0.75" right="0.75" top="1" bottom="1" header="0.5" footer="0.5"/>
  <pageSetup paperSize="9" scale="9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T144"/>
  <sheetViews>
    <sheetView showGridLines="0" zoomScale="90" zoomScaleNormal="90" workbookViewId="0">
      <selection activeCell="F112" sqref="F112"/>
    </sheetView>
  </sheetViews>
  <sheetFormatPr defaultColWidth="0" defaultRowHeight="12.75"/>
  <cols>
    <col min="1" max="1" width="10.42578125" style="2" customWidth="1"/>
    <col min="2" max="2" width="6" style="2" customWidth="1"/>
    <col min="3" max="3" width="46.42578125" style="10" customWidth="1"/>
    <col min="4" max="4" width="22.5703125" style="10" bestFit="1" customWidth="1"/>
    <col min="5" max="5" width="22.42578125" style="251" customWidth="1"/>
    <col min="6" max="6" width="17.28515625" style="251" customWidth="1"/>
    <col min="7" max="7" width="21.7109375" style="10" bestFit="1" customWidth="1"/>
    <col min="8" max="8" width="14.28515625" style="10" customWidth="1"/>
    <col min="9" max="9" width="13.140625" style="10" bestFit="1" customWidth="1"/>
    <col min="10" max="10" width="17" style="10" customWidth="1"/>
    <col min="11" max="11" width="14.5703125" style="10" customWidth="1"/>
    <col min="12" max="12" width="16.28515625" style="10" customWidth="1"/>
    <col min="13" max="13" width="12" style="10" customWidth="1"/>
    <col min="14" max="14" width="17.28515625" style="10" bestFit="1" customWidth="1"/>
    <col min="15" max="15" width="9.140625" style="10" customWidth="1"/>
    <col min="16" max="16" width="11.42578125" style="10" bestFit="1" customWidth="1"/>
    <col min="17" max="17" width="9.140625" style="10" customWidth="1"/>
    <col min="18" max="18" width="14.5703125" style="10" bestFit="1" customWidth="1"/>
    <col min="19" max="19" width="9.140625" style="10" customWidth="1"/>
    <col min="20" max="20" width="14.140625" style="10" customWidth="1"/>
    <col min="21" max="16384" width="9.140625" style="10" hidden="1"/>
  </cols>
  <sheetData>
    <row r="1" spans="1:11" ht="15">
      <c r="A1"/>
    </row>
    <row r="3" spans="1:11" ht="13.15" customHeight="1">
      <c r="B3" s="466" t="s">
        <v>356</v>
      </c>
      <c r="C3" s="466"/>
      <c r="D3" s="466"/>
      <c r="E3" s="466"/>
      <c r="F3" s="466"/>
      <c r="G3" s="466"/>
      <c r="H3" s="466"/>
      <c r="I3" s="466"/>
      <c r="J3" s="466"/>
    </row>
    <row r="4" spans="1:11" ht="13.15" customHeight="1">
      <c r="B4" s="466"/>
      <c r="C4" s="466"/>
      <c r="D4" s="466"/>
      <c r="E4" s="466"/>
      <c r="F4" s="466"/>
      <c r="G4" s="466"/>
      <c r="H4" s="466"/>
      <c r="I4" s="466"/>
      <c r="J4" s="466"/>
    </row>
    <row r="6" spans="1:11">
      <c r="C6" s="515" t="s">
        <v>357</v>
      </c>
      <c r="D6" s="516"/>
      <c r="E6" s="516"/>
      <c r="F6" s="516"/>
      <c r="G6" s="516"/>
      <c r="H6" s="516"/>
      <c r="I6" s="516"/>
      <c r="J6" s="516"/>
      <c r="K6" s="516"/>
    </row>
    <row r="7" spans="1:11">
      <c r="C7" s="516"/>
      <c r="D7" s="516"/>
      <c r="E7" s="516"/>
      <c r="F7" s="516"/>
      <c r="G7" s="516"/>
      <c r="H7" s="516"/>
      <c r="I7" s="516"/>
      <c r="J7" s="516"/>
      <c r="K7" s="516"/>
    </row>
    <row r="8" spans="1:11">
      <c r="C8" s="516"/>
      <c r="D8" s="516"/>
      <c r="E8" s="516"/>
      <c r="F8" s="516"/>
      <c r="G8" s="516"/>
      <c r="H8" s="516"/>
      <c r="I8" s="516"/>
      <c r="J8" s="516"/>
      <c r="K8" s="516"/>
    </row>
    <row r="9" spans="1:11">
      <c r="C9" s="516"/>
      <c r="D9" s="516"/>
      <c r="E9" s="516"/>
      <c r="F9" s="516"/>
      <c r="G9" s="516"/>
      <c r="H9" s="516"/>
      <c r="I9" s="516"/>
      <c r="J9" s="516"/>
      <c r="K9" s="516"/>
    </row>
    <row r="10" spans="1:11">
      <c r="C10" s="516"/>
      <c r="D10" s="516"/>
      <c r="E10" s="516"/>
      <c r="F10" s="516"/>
      <c r="G10" s="516"/>
      <c r="H10" s="516"/>
      <c r="I10" s="516"/>
      <c r="J10" s="516"/>
      <c r="K10" s="516"/>
    </row>
    <row r="11" spans="1:11">
      <c r="C11" s="516"/>
      <c r="D11" s="516"/>
      <c r="E11" s="516"/>
      <c r="F11" s="516"/>
      <c r="G11" s="516"/>
      <c r="H11" s="516"/>
      <c r="I11" s="516"/>
      <c r="J11" s="516"/>
      <c r="K11" s="516"/>
    </row>
    <row r="12" spans="1:11">
      <c r="C12" s="516"/>
      <c r="D12" s="516"/>
      <c r="E12" s="516"/>
      <c r="F12" s="516"/>
      <c r="G12" s="516"/>
      <c r="H12" s="516"/>
      <c r="I12" s="516"/>
      <c r="J12" s="516"/>
      <c r="K12" s="516"/>
    </row>
    <row r="13" spans="1:11">
      <c r="C13" s="516"/>
      <c r="D13" s="516"/>
      <c r="E13" s="516"/>
      <c r="F13" s="516"/>
      <c r="G13" s="516"/>
      <c r="H13" s="516"/>
      <c r="I13" s="516"/>
      <c r="J13" s="516"/>
      <c r="K13" s="516"/>
    </row>
    <row r="14" spans="1:11">
      <c r="C14" s="516"/>
      <c r="D14" s="516"/>
      <c r="E14" s="516"/>
      <c r="F14" s="516"/>
      <c r="G14" s="516"/>
      <c r="H14" s="516"/>
      <c r="I14" s="516"/>
      <c r="J14" s="516"/>
      <c r="K14" s="516"/>
    </row>
    <row r="15" spans="1:11">
      <c r="C15" s="516"/>
      <c r="D15" s="516"/>
      <c r="E15" s="516"/>
      <c r="F15" s="516"/>
      <c r="G15" s="516"/>
      <c r="H15" s="516"/>
      <c r="I15" s="516"/>
      <c r="J15" s="516"/>
      <c r="K15" s="516"/>
    </row>
    <row r="16" spans="1:11" ht="15" customHeight="1">
      <c r="C16" s="10" t="s">
        <v>358</v>
      </c>
    </row>
    <row r="17" spans="2:19" ht="15" customHeight="1">
      <c r="B17" s="521" t="s">
        <v>359</v>
      </c>
      <c r="C17" s="521"/>
      <c r="D17" s="521"/>
      <c r="E17" s="521"/>
      <c r="F17" s="521"/>
      <c r="G17" s="521"/>
      <c r="H17" s="521"/>
      <c r="I17" s="521"/>
    </row>
    <row r="18" spans="2:19" ht="8.25" customHeight="1">
      <c r="B18" s="6"/>
      <c r="C18" s="22"/>
      <c r="D18" s="22"/>
      <c r="E18" s="22"/>
      <c r="F18" s="22"/>
      <c r="G18" s="22"/>
    </row>
    <row r="19" spans="2:19" ht="15" customHeight="1">
      <c r="B19" s="35" t="s">
        <v>360</v>
      </c>
      <c r="C19" s="24" t="s">
        <v>328</v>
      </c>
      <c r="D19" s="25" t="s">
        <v>361</v>
      </c>
      <c r="E19" s="25" t="s">
        <v>362</v>
      </c>
      <c r="F19" s="25" t="s">
        <v>363</v>
      </c>
      <c r="G19" s="25" t="s">
        <v>364</v>
      </c>
      <c r="H19" s="25"/>
      <c r="I19" s="25"/>
      <c r="K19" s="10" t="s">
        <v>365</v>
      </c>
    </row>
    <row r="20" spans="2:19" ht="7.5" customHeight="1">
      <c r="B20" s="27"/>
      <c r="C20" s="26"/>
      <c r="D20" s="26"/>
      <c r="E20" s="252"/>
      <c r="F20" s="252"/>
      <c r="G20" s="26"/>
    </row>
    <row r="21" spans="2:19" ht="17.25">
      <c r="B21" s="365">
        <v>1</v>
      </c>
      <c r="C21" s="366" t="s">
        <v>366</v>
      </c>
      <c r="D21" s="369">
        <f>SUM(D22:D56)</f>
        <v>160726241.82080597</v>
      </c>
      <c r="E21" s="370"/>
      <c r="F21" s="370"/>
      <c r="G21" s="369">
        <f>SUM(G22:G56)</f>
        <v>165723110.60752857</v>
      </c>
      <c r="H21" s="54" t="s">
        <v>367</v>
      </c>
      <c r="I21" s="54" t="s">
        <v>190</v>
      </c>
      <c r="J21" s="162"/>
      <c r="K21" s="10" t="s">
        <v>368</v>
      </c>
    </row>
    <row r="22" spans="2:19" ht="15.75">
      <c r="B22" s="39" t="s">
        <v>137</v>
      </c>
      <c r="C22" s="40" t="s">
        <v>369</v>
      </c>
      <c r="D22" s="41">
        <v>58640.54</v>
      </c>
      <c r="E22" s="253">
        <v>1.2587675</v>
      </c>
      <c r="F22" s="253" t="s">
        <v>370</v>
      </c>
      <c r="G22" s="41">
        <f>D22*E22</f>
        <v>73814.805934450007</v>
      </c>
      <c r="H22" s="55">
        <v>42736</v>
      </c>
      <c r="I22" s="56">
        <v>1</v>
      </c>
      <c r="J22" s="154"/>
    </row>
    <row r="23" spans="2:19" ht="15.75">
      <c r="B23" s="39" t="s">
        <v>138</v>
      </c>
      <c r="C23" s="40" t="s">
        <v>369</v>
      </c>
      <c r="D23" s="41">
        <v>43123.33</v>
      </c>
      <c r="E23" s="253">
        <v>1.2587675</v>
      </c>
      <c r="F23" s="253" t="s">
        <v>370</v>
      </c>
      <c r="G23" s="41">
        <f>D23*E23</f>
        <v>54282.246295775003</v>
      </c>
      <c r="H23" s="55">
        <v>42736</v>
      </c>
      <c r="I23" s="56">
        <v>1</v>
      </c>
      <c r="J23" s="154"/>
      <c r="K23" s="488" t="s">
        <v>371</v>
      </c>
      <c r="L23" s="489"/>
      <c r="M23" s="489"/>
      <c r="N23" s="489"/>
      <c r="P23" s="488" t="s">
        <v>372</v>
      </c>
      <c r="Q23" s="489"/>
      <c r="R23" s="489"/>
      <c r="S23" s="489"/>
    </row>
    <row r="24" spans="2:19" ht="15.75" customHeight="1">
      <c r="B24" s="39" t="s">
        <v>140</v>
      </c>
      <c r="C24" s="40" t="s">
        <v>373</v>
      </c>
      <c r="D24" s="41">
        <f>SUM(D25:D26)</f>
        <v>132940.66666666666</v>
      </c>
      <c r="E24" s="253"/>
      <c r="F24" s="253"/>
      <c r="G24" s="41">
        <f>SUM(G25:G26)</f>
        <v>167341.39062833332</v>
      </c>
      <c r="H24" s="55">
        <v>42736</v>
      </c>
      <c r="I24" s="56">
        <v>5</v>
      </c>
      <c r="J24" s="154"/>
      <c r="K24" s="228" t="s">
        <v>374</v>
      </c>
      <c r="L24" s="229">
        <v>4793.8500000000004</v>
      </c>
      <c r="M24" s="228" t="s">
        <v>284</v>
      </c>
      <c r="N24" s="229">
        <v>5080.83</v>
      </c>
      <c r="P24" s="244">
        <v>42736</v>
      </c>
      <c r="Q24" s="229">
        <v>690.61400000000003</v>
      </c>
      <c r="R24" s="244">
        <v>43405</v>
      </c>
      <c r="S24" s="229">
        <v>743.755</v>
      </c>
    </row>
    <row r="25" spans="2:19" ht="15.75" customHeight="1">
      <c r="B25" s="160" t="s">
        <v>375</v>
      </c>
      <c r="C25" s="161" t="s">
        <v>376</v>
      </c>
      <c r="D25" s="41">
        <f>D125</f>
        <v>95839</v>
      </c>
      <c r="E25" s="253">
        <v>1.2587675</v>
      </c>
      <c r="F25" s="253" t="s">
        <v>370</v>
      </c>
      <c r="G25" s="41">
        <f>D25*E25</f>
        <v>120639.0184325</v>
      </c>
      <c r="H25" s="55">
        <v>42736</v>
      </c>
      <c r="I25" s="56">
        <v>5</v>
      </c>
      <c r="J25" s="206"/>
      <c r="K25" s="228" t="s">
        <v>377</v>
      </c>
      <c r="L25" s="229">
        <v>4809.67</v>
      </c>
      <c r="M25" s="228" t="s">
        <v>286</v>
      </c>
      <c r="N25" s="229">
        <v>5103.6899999999996</v>
      </c>
      <c r="P25" s="244">
        <v>42767</v>
      </c>
      <c r="Q25" s="229">
        <v>694.25800000000004</v>
      </c>
      <c r="R25" s="244">
        <v>43435</v>
      </c>
      <c r="S25" s="229">
        <v>744.69899999999996</v>
      </c>
    </row>
    <row r="26" spans="2:19" ht="15.75" customHeight="1">
      <c r="B26" s="160" t="s">
        <v>378</v>
      </c>
      <c r="C26" s="161" t="s">
        <v>379</v>
      </c>
      <c r="D26" s="41">
        <f>D140</f>
        <v>37101.666666666664</v>
      </c>
      <c r="E26" s="253">
        <v>1.2587675</v>
      </c>
      <c r="F26" s="253" t="s">
        <v>370</v>
      </c>
      <c r="G26" s="41">
        <f>D26*E26</f>
        <v>46702.372195833334</v>
      </c>
      <c r="H26" s="55">
        <v>42736</v>
      </c>
      <c r="I26" s="56">
        <v>5</v>
      </c>
      <c r="J26" s="206"/>
      <c r="K26" s="228" t="s">
        <v>380</v>
      </c>
      <c r="L26" s="229">
        <v>4821.6899999999996</v>
      </c>
      <c r="M26" s="228" t="s">
        <v>287</v>
      </c>
      <c r="N26" s="229">
        <v>5092.97</v>
      </c>
      <c r="P26" s="244">
        <v>42795</v>
      </c>
      <c r="Q26" s="229">
        <v>696.78200000000004</v>
      </c>
      <c r="R26" s="244">
        <v>43466</v>
      </c>
      <c r="S26" s="229">
        <v>747.65599999999995</v>
      </c>
    </row>
    <row r="27" spans="2:19" ht="15.75" customHeight="1">
      <c r="B27" s="39" t="s">
        <v>142</v>
      </c>
      <c r="C27" s="40" t="s">
        <v>381</v>
      </c>
      <c r="D27" s="41">
        <v>649788.85</v>
      </c>
      <c r="E27" s="253">
        <f>S45/Q24</f>
        <v>1.1609625637476217</v>
      </c>
      <c r="F27" s="253" t="s">
        <v>382</v>
      </c>
      <c r="G27" s="41">
        <f>D27*E27</f>
        <v>754380.52919061878</v>
      </c>
      <c r="H27" s="55">
        <v>42736</v>
      </c>
      <c r="I27" s="56">
        <v>1</v>
      </c>
      <c r="J27" s="154"/>
      <c r="K27" s="228" t="s">
        <v>383</v>
      </c>
      <c r="L27" s="229">
        <v>4828.4399999999996</v>
      </c>
      <c r="M27" s="228" t="s">
        <v>289</v>
      </c>
      <c r="N27" s="229">
        <v>5100.6099999999997</v>
      </c>
      <c r="P27" s="244">
        <v>42826</v>
      </c>
      <c r="Q27" s="229">
        <v>696.21600000000001</v>
      </c>
      <c r="R27" s="244">
        <v>43497</v>
      </c>
      <c r="S27" s="229">
        <v>749.11099999999999</v>
      </c>
    </row>
    <row r="28" spans="2:19" ht="15.75" customHeight="1">
      <c r="B28" s="39" t="s">
        <v>384</v>
      </c>
      <c r="C28" s="40" t="s">
        <v>385</v>
      </c>
      <c r="D28" s="41">
        <v>317267.87</v>
      </c>
      <c r="E28" s="253">
        <f>S45/S32</f>
        <v>1.0480019031361227</v>
      </c>
      <c r="F28" s="253" t="s">
        <v>382</v>
      </c>
      <c r="G28" s="41">
        <f t="shared" ref="G28:G30" si="0">D28*E28</f>
        <v>332497.331563944</v>
      </c>
      <c r="H28" s="55">
        <v>43647</v>
      </c>
      <c r="I28" s="56">
        <v>1</v>
      </c>
      <c r="J28" s="154"/>
      <c r="K28" s="228" t="s">
        <v>386</v>
      </c>
      <c r="L28" s="229">
        <v>4843.41</v>
      </c>
      <c r="M28" s="228" t="s">
        <v>268</v>
      </c>
      <c r="N28" s="229">
        <v>5214.2700000000004</v>
      </c>
      <c r="P28" s="244">
        <v>42856</v>
      </c>
      <c r="Q28" s="229">
        <v>697.11699999999996</v>
      </c>
      <c r="R28" s="244">
        <v>43525</v>
      </c>
      <c r="S28" s="229">
        <v>750.55799999999999</v>
      </c>
    </row>
    <row r="29" spans="2:19" ht="15.75" customHeight="1">
      <c r="B29" s="39" t="s">
        <v>146</v>
      </c>
      <c r="C29" s="40" t="s">
        <v>387</v>
      </c>
      <c r="D29" s="41">
        <f>64525.92+64525.92+109953.45+95927.18</f>
        <v>334932.46999999997</v>
      </c>
      <c r="E29" s="253">
        <f>S45/S39</f>
        <v>1.0276768044461309</v>
      </c>
      <c r="F29" s="253" t="s">
        <v>382</v>
      </c>
      <c r="G29" s="41">
        <f t="shared" si="0"/>
        <v>344202.33047484956</v>
      </c>
      <c r="H29" s="55">
        <v>43862</v>
      </c>
      <c r="I29" s="56">
        <v>4</v>
      </c>
      <c r="J29" s="154"/>
      <c r="K29" s="228" t="s">
        <v>388</v>
      </c>
      <c r="L29" s="229">
        <v>4832.2700000000004</v>
      </c>
      <c r="M29" s="228" t="s">
        <v>271</v>
      </c>
      <c r="N29" s="229">
        <v>5224.18</v>
      </c>
      <c r="P29" s="244">
        <v>42887</v>
      </c>
      <c r="Q29" s="229">
        <v>706.596</v>
      </c>
      <c r="R29" s="244">
        <v>43556</v>
      </c>
      <c r="S29" s="229">
        <v>754.20299999999997</v>
      </c>
    </row>
    <row r="30" spans="2:19" ht="15.75" customHeight="1">
      <c r="B30" s="39" t="s">
        <v>148</v>
      </c>
      <c r="C30" s="40" t="s">
        <v>389</v>
      </c>
      <c r="D30" s="41">
        <f>572571.05</f>
        <v>572571.05000000005</v>
      </c>
      <c r="E30" s="253">
        <f>S45/S39</f>
        <v>1.0276768044461309</v>
      </c>
      <c r="F30" s="253" t="s">
        <v>382</v>
      </c>
      <c r="G30" s="41">
        <f t="shared" si="0"/>
        <v>588417.98698236584</v>
      </c>
      <c r="H30" s="55">
        <v>43862</v>
      </c>
      <c r="I30" s="56">
        <v>8</v>
      </c>
      <c r="J30" s="154"/>
      <c r="K30" s="228" t="s">
        <v>390</v>
      </c>
      <c r="L30" s="229">
        <v>4843.87</v>
      </c>
      <c r="M30" s="228" t="s">
        <v>274</v>
      </c>
      <c r="N30" s="229">
        <v>5229.93</v>
      </c>
      <c r="P30" s="244">
        <v>42917</v>
      </c>
      <c r="Q30" s="229">
        <v>708.13499999999999</v>
      </c>
      <c r="R30" s="244">
        <v>43586</v>
      </c>
      <c r="S30" s="229">
        <v>754.85900000000004</v>
      </c>
    </row>
    <row r="31" spans="2:19" ht="15.75" customHeight="1">
      <c r="B31" s="39" t="s">
        <v>150</v>
      </c>
      <c r="C31" s="40" t="s">
        <v>391</v>
      </c>
      <c r="D31" s="41">
        <v>4776413.3099999996</v>
      </c>
      <c r="E31" s="253">
        <f>$S$45/$Q$24</f>
        <v>1.1609625637476217</v>
      </c>
      <c r="F31" s="253" t="s">
        <v>382</v>
      </c>
      <c r="G31" s="41">
        <f>D31*E31</f>
        <v>5545237.0418958636</v>
      </c>
      <c r="H31" s="208">
        <v>42736</v>
      </c>
      <c r="I31" s="209"/>
      <c r="J31" s="371"/>
      <c r="K31" s="228" t="s">
        <v>392</v>
      </c>
      <c r="L31" s="229">
        <v>4853.07</v>
      </c>
      <c r="M31" s="228" t="s">
        <v>12</v>
      </c>
      <c r="N31" s="229">
        <v>5227.84</v>
      </c>
      <c r="P31" s="244">
        <v>42948</v>
      </c>
      <c r="Q31" s="229">
        <v>710.95399999999995</v>
      </c>
      <c r="R31" s="244">
        <v>43617</v>
      </c>
      <c r="S31" s="229">
        <v>758.17700000000002</v>
      </c>
    </row>
    <row r="32" spans="2:19" ht="30.6" customHeight="1">
      <c r="B32" s="39" t="s">
        <v>152</v>
      </c>
      <c r="C32" s="40" t="s">
        <v>393</v>
      </c>
      <c r="D32" s="41">
        <v>16660627.109999999</v>
      </c>
      <c r="E32" s="253">
        <f>$S$45/$Q$24</f>
        <v>1.1609625637476217</v>
      </c>
      <c r="F32" s="253" t="s">
        <v>382</v>
      </c>
      <c r="G32" s="41">
        <f t="shared" ref="G32:G33" si="1">D32*E32</f>
        <v>19342364.363268729</v>
      </c>
      <c r="H32" s="208">
        <v>42736</v>
      </c>
      <c r="I32" s="209"/>
      <c r="J32" s="371"/>
      <c r="K32" s="228" t="s">
        <v>394</v>
      </c>
      <c r="L32" s="229">
        <v>4860.83</v>
      </c>
      <c r="M32" s="228" t="s">
        <v>14</v>
      </c>
      <c r="N32" s="229">
        <v>5233.07</v>
      </c>
      <c r="P32" s="244">
        <v>42979</v>
      </c>
      <c r="Q32" s="229">
        <v>711.971</v>
      </c>
      <c r="R32" s="244">
        <v>43647</v>
      </c>
      <c r="S32" s="229">
        <v>765.053</v>
      </c>
    </row>
    <row r="33" spans="1:19" ht="15.75" customHeight="1">
      <c r="B33" s="39" t="s">
        <v>154</v>
      </c>
      <c r="C33" s="40" t="s">
        <v>395</v>
      </c>
      <c r="D33" s="41">
        <v>4596835.21</v>
      </c>
      <c r="E33" s="253">
        <f>$S$45/$Q$24</f>
        <v>1.1609625637476217</v>
      </c>
      <c r="F33" s="253" t="s">
        <v>382</v>
      </c>
      <c r="G33" s="41">
        <f t="shared" si="1"/>
        <v>5336753.5905269375</v>
      </c>
      <c r="H33" s="208">
        <v>42736</v>
      </c>
      <c r="I33" s="209"/>
      <c r="J33" s="371"/>
      <c r="K33" s="228" t="s">
        <v>396</v>
      </c>
      <c r="L33" s="229">
        <v>4881.25</v>
      </c>
      <c r="M33" s="228" t="s">
        <v>16</v>
      </c>
      <c r="N33" s="229">
        <v>5259.76</v>
      </c>
      <c r="P33" s="244">
        <v>43009</v>
      </c>
      <c r="Q33" s="229">
        <v>713.35400000000004</v>
      </c>
      <c r="R33" s="244">
        <v>43678</v>
      </c>
      <c r="S33" s="229">
        <v>767.68200000000002</v>
      </c>
    </row>
    <row r="34" spans="1:19" ht="15.75" customHeight="1">
      <c r="B34" s="39" t="s">
        <v>156</v>
      </c>
      <c r="C34" s="40" t="s">
        <v>397</v>
      </c>
      <c r="D34" s="41">
        <v>3450637.47</v>
      </c>
      <c r="E34" s="253">
        <f>$S$45/$Q$24</f>
        <v>1.1609625637476217</v>
      </c>
      <c r="F34" s="253" t="s">
        <v>382</v>
      </c>
      <c r="G34" s="41">
        <f>D34*E34</f>
        <v>4006060.9237348074</v>
      </c>
      <c r="H34" s="208">
        <v>42736</v>
      </c>
      <c r="I34" s="209"/>
      <c r="J34" s="372"/>
      <c r="K34" s="228" t="s">
        <v>398</v>
      </c>
      <c r="L34" s="229">
        <v>4894.92</v>
      </c>
      <c r="M34" s="228" t="s">
        <v>18</v>
      </c>
      <c r="N34" s="229">
        <v>5320.25</v>
      </c>
      <c r="P34" s="244">
        <v>43040</v>
      </c>
      <c r="Q34" s="229">
        <v>715.31799999999998</v>
      </c>
      <c r="R34" s="244">
        <v>43709</v>
      </c>
      <c r="S34" s="229">
        <v>772.31</v>
      </c>
    </row>
    <row r="35" spans="1:19" ht="15.75" customHeight="1">
      <c r="B35" s="39" t="s">
        <v>158</v>
      </c>
      <c r="C35" s="40" t="s">
        <v>399</v>
      </c>
      <c r="D35" s="41">
        <v>2079.5</v>
      </c>
      <c r="E35" s="253">
        <f>N42/L30</f>
        <v>1.1060288570915404</v>
      </c>
      <c r="F35" s="253" t="s">
        <v>255</v>
      </c>
      <c r="G35" s="41">
        <f>D35*E35</f>
        <v>2299.9870083218584</v>
      </c>
      <c r="H35" s="208">
        <v>42927</v>
      </c>
      <c r="I35" s="209">
        <v>2</v>
      </c>
      <c r="J35" s="372"/>
      <c r="K35" s="228" t="s">
        <v>260</v>
      </c>
      <c r="L35" s="229">
        <v>4916.46</v>
      </c>
      <c r="M35" s="228" t="s">
        <v>20</v>
      </c>
      <c r="N35" s="229">
        <v>5331.42</v>
      </c>
      <c r="P35" s="244">
        <v>43070</v>
      </c>
      <c r="Q35" s="229">
        <v>716.28700000000003</v>
      </c>
      <c r="R35" s="244">
        <v>43739</v>
      </c>
      <c r="S35" s="229">
        <v>773.27300000000002</v>
      </c>
    </row>
    <row r="36" spans="1:19" ht="15.75" customHeight="1">
      <c r="B36" s="39" t="s">
        <v>160</v>
      </c>
      <c r="C36" s="40" t="s">
        <v>400</v>
      </c>
      <c r="D36" s="41">
        <v>60</v>
      </c>
      <c r="E36" s="253">
        <f>$N$42/$L$24</f>
        <v>1.1175693857755249</v>
      </c>
      <c r="F36" s="253" t="s">
        <v>255</v>
      </c>
      <c r="G36" s="41">
        <f t="shared" ref="G36:G54" si="2">D36*E36</f>
        <v>67.054163146531494</v>
      </c>
      <c r="H36" s="208">
        <v>42736</v>
      </c>
      <c r="I36" s="209">
        <v>2</v>
      </c>
      <c r="J36" s="372"/>
      <c r="K36" s="228" t="s">
        <v>264</v>
      </c>
      <c r="L36" s="229">
        <v>4930.72</v>
      </c>
      <c r="M36" s="228" t="s">
        <v>22</v>
      </c>
      <c r="N36" s="229">
        <v>5344.75</v>
      </c>
      <c r="P36" s="244">
        <v>43101</v>
      </c>
      <c r="Q36" s="229">
        <v>718.303</v>
      </c>
      <c r="R36" s="244">
        <v>43770</v>
      </c>
      <c r="S36" s="229">
        <v>774.42100000000005</v>
      </c>
    </row>
    <row r="37" spans="1:19" ht="15.75" customHeight="1">
      <c r="B37" s="39" t="s">
        <v>162</v>
      </c>
      <c r="C37" s="40" t="s">
        <v>401</v>
      </c>
      <c r="D37" s="41">
        <v>2598</v>
      </c>
      <c r="E37" s="253">
        <f>N42/L30</f>
        <v>1.1060288570915404</v>
      </c>
      <c r="F37" s="253" t="s">
        <v>255</v>
      </c>
      <c r="G37" s="41">
        <f t="shared" si="2"/>
        <v>2873.4629707238219</v>
      </c>
      <c r="H37" s="208">
        <v>42927</v>
      </c>
      <c r="I37" s="209">
        <v>6</v>
      </c>
      <c r="J37" s="371"/>
      <c r="K37" s="228" t="s">
        <v>267</v>
      </c>
      <c r="L37" s="229">
        <v>4946.5</v>
      </c>
      <c r="M37" s="228" t="s">
        <v>13</v>
      </c>
      <c r="N37" s="229">
        <v>5348.49</v>
      </c>
      <c r="P37" s="244">
        <v>43132</v>
      </c>
      <c r="Q37" s="229">
        <v>719.33199999999999</v>
      </c>
      <c r="R37" s="244">
        <v>43800</v>
      </c>
      <c r="S37" s="229">
        <v>775.49</v>
      </c>
    </row>
    <row r="38" spans="1:19" s="210" customFormat="1" ht="15.75" customHeight="1">
      <c r="A38" s="207"/>
      <c r="B38" s="39" t="s">
        <v>164</v>
      </c>
      <c r="C38" s="40" t="s">
        <v>402</v>
      </c>
      <c r="D38" s="41">
        <v>524</v>
      </c>
      <c r="E38" s="253">
        <f>$N$42/$L$24</f>
        <v>1.1175693857755249</v>
      </c>
      <c r="F38" s="253" t="s">
        <v>255</v>
      </c>
      <c r="G38" s="41">
        <f t="shared" si="2"/>
        <v>585.60635814637499</v>
      </c>
      <c r="H38" s="208">
        <v>42736</v>
      </c>
      <c r="I38" s="209">
        <v>1</v>
      </c>
      <c r="J38" s="154"/>
      <c r="K38" s="228" t="s">
        <v>270</v>
      </c>
      <c r="L38" s="229">
        <v>4950.95</v>
      </c>
      <c r="M38" s="228" t="s">
        <v>15</v>
      </c>
      <c r="N38" s="229">
        <v>5331.91</v>
      </c>
      <c r="O38" s="10"/>
      <c r="P38" s="244">
        <v>43160</v>
      </c>
      <c r="Q38" s="229">
        <v>720.95299999999997</v>
      </c>
      <c r="R38" s="244">
        <v>43831</v>
      </c>
      <c r="S38" s="229">
        <v>777.47</v>
      </c>
    </row>
    <row r="39" spans="1:19" s="210" customFormat="1" ht="15.75" customHeight="1">
      <c r="A39" s="207"/>
      <c r="B39" s="39" t="s">
        <v>403</v>
      </c>
      <c r="C39" s="40" t="s">
        <v>404</v>
      </c>
      <c r="D39" s="41">
        <v>472</v>
      </c>
      <c r="E39" s="253">
        <f>$N$42/$L$24</f>
        <v>1.1175693857755249</v>
      </c>
      <c r="F39" s="253" t="s">
        <v>255</v>
      </c>
      <c r="G39" s="41">
        <f t="shared" si="2"/>
        <v>527.49275008604775</v>
      </c>
      <c r="H39" s="208">
        <v>42736</v>
      </c>
      <c r="I39" s="209">
        <v>1</v>
      </c>
      <c r="J39" s="154"/>
      <c r="K39" s="228" t="s">
        <v>273</v>
      </c>
      <c r="L39" s="229">
        <v>4961.84</v>
      </c>
      <c r="M39" s="228" t="s">
        <v>17</v>
      </c>
      <c r="N39" s="229">
        <v>5311.65</v>
      </c>
      <c r="O39" s="10"/>
      <c r="P39" s="244">
        <v>43191</v>
      </c>
      <c r="Q39" s="229">
        <v>722.98299999999995</v>
      </c>
      <c r="R39" s="244">
        <v>43862</v>
      </c>
      <c r="S39" s="229">
        <v>780.18399999999997</v>
      </c>
    </row>
    <row r="40" spans="1:19" s="210" customFormat="1" ht="15.75" customHeight="1">
      <c r="A40" s="207"/>
      <c r="B40" s="39" t="s">
        <v>405</v>
      </c>
      <c r="C40" s="40" t="s">
        <v>406</v>
      </c>
      <c r="D40" s="41">
        <v>1823</v>
      </c>
      <c r="E40" s="253">
        <f>$N$42/$L$24</f>
        <v>1.1175693857755249</v>
      </c>
      <c r="F40" s="253" t="s">
        <v>255</v>
      </c>
      <c r="G40" s="41">
        <f t="shared" si="2"/>
        <v>2037.3289902687818</v>
      </c>
      <c r="H40" s="208">
        <v>42736</v>
      </c>
      <c r="I40" s="209">
        <v>1</v>
      </c>
      <c r="J40" s="154"/>
      <c r="K40" s="228" t="s">
        <v>276</v>
      </c>
      <c r="L40" s="229">
        <v>4981.6899999999996</v>
      </c>
      <c r="M40" s="228" t="s">
        <v>19</v>
      </c>
      <c r="N40" s="229">
        <v>5325.46</v>
      </c>
      <c r="P40" s="244">
        <v>43221</v>
      </c>
      <c r="Q40" s="229">
        <v>725.18600000000004</v>
      </c>
      <c r="R40" s="244">
        <v>43891</v>
      </c>
      <c r="S40" s="229">
        <v>783.15</v>
      </c>
    </row>
    <row r="41" spans="1:19" s="210" customFormat="1" ht="15.75" customHeight="1">
      <c r="A41" s="207"/>
      <c r="B41" s="39" t="s">
        <v>407</v>
      </c>
      <c r="C41" s="40" t="s">
        <v>408</v>
      </c>
      <c r="D41" s="41">
        <v>3111.91</v>
      </c>
      <c r="E41" s="253">
        <f>$N$42/$L$24</f>
        <v>1.1175693857755249</v>
      </c>
      <c r="F41" s="253" t="s">
        <v>255</v>
      </c>
      <c r="G41" s="41">
        <f t="shared" si="2"/>
        <v>3477.7753472887134</v>
      </c>
      <c r="H41" s="208">
        <v>42736</v>
      </c>
      <c r="I41" s="209">
        <v>1</v>
      </c>
      <c r="J41" s="154"/>
      <c r="K41" s="228" t="s">
        <v>278</v>
      </c>
      <c r="L41" s="229">
        <v>5044.46</v>
      </c>
      <c r="M41" s="228" t="s">
        <v>21</v>
      </c>
      <c r="N41" s="229">
        <v>5344.63</v>
      </c>
      <c r="P41" s="244">
        <v>43252</v>
      </c>
      <c r="Q41" s="229">
        <v>730.71</v>
      </c>
      <c r="R41" s="244">
        <v>43922</v>
      </c>
      <c r="S41" s="229">
        <v>784.52300000000002</v>
      </c>
    </row>
    <row r="42" spans="1:19" s="210" customFormat="1" ht="15.75" customHeight="1">
      <c r="A42" s="207"/>
      <c r="B42" s="39" t="s">
        <v>409</v>
      </c>
      <c r="C42" s="40" t="s">
        <v>410</v>
      </c>
      <c r="D42" s="41">
        <v>780</v>
      </c>
      <c r="E42" s="253">
        <f>$N$42/$L$24</f>
        <v>1.1175693857755249</v>
      </c>
      <c r="F42" s="253" t="s">
        <v>255</v>
      </c>
      <c r="G42" s="41">
        <f t="shared" si="2"/>
        <v>871.70412090490936</v>
      </c>
      <c r="H42" s="208">
        <v>42736</v>
      </c>
      <c r="I42" s="209">
        <v>1</v>
      </c>
      <c r="J42" s="154"/>
      <c r="K42" s="228" t="s">
        <v>280</v>
      </c>
      <c r="L42" s="229">
        <v>5061.1099999999997</v>
      </c>
      <c r="M42" s="228" t="s">
        <v>23</v>
      </c>
      <c r="N42" s="229">
        <v>5357.46</v>
      </c>
      <c r="P42" s="244">
        <v>43282</v>
      </c>
      <c r="Q42" s="229">
        <v>735.98699999999997</v>
      </c>
      <c r="R42" s="244">
        <v>43952</v>
      </c>
      <c r="S42" s="229">
        <v>786.13199999999995</v>
      </c>
    </row>
    <row r="43" spans="1:19" s="210" customFormat="1" ht="15.75" customHeight="1">
      <c r="A43" s="207"/>
      <c r="B43" s="39" t="s">
        <v>411</v>
      </c>
      <c r="C43" s="40" t="s">
        <v>412</v>
      </c>
      <c r="D43" s="41">
        <v>45.4</v>
      </c>
      <c r="E43" s="253">
        <f>N42/L29</f>
        <v>1.1086839104603012</v>
      </c>
      <c r="F43" s="253" t="s">
        <v>255</v>
      </c>
      <c r="G43" s="41">
        <f t="shared" si="2"/>
        <v>50.334249534897673</v>
      </c>
      <c r="H43" s="208">
        <v>42898</v>
      </c>
      <c r="I43" s="209">
        <v>1</v>
      </c>
      <c r="J43" s="154"/>
      <c r="K43" s="228" t="s">
        <v>282</v>
      </c>
      <c r="L43" s="229">
        <v>5056.5600000000004</v>
      </c>
      <c r="P43" s="244">
        <v>43313</v>
      </c>
      <c r="Q43" s="229">
        <v>738.15800000000002</v>
      </c>
      <c r="R43" s="244">
        <v>43983</v>
      </c>
      <c r="S43" s="229">
        <v>788.61599999999999</v>
      </c>
    </row>
    <row r="44" spans="1:19" s="210" customFormat="1" ht="15.75" customHeight="1">
      <c r="A44" s="207"/>
      <c r="B44" s="39" t="s">
        <v>413</v>
      </c>
      <c r="C44" s="40" t="s">
        <v>414</v>
      </c>
      <c r="D44" s="41">
        <v>121</v>
      </c>
      <c r="E44" s="253">
        <f>N42/L29</f>
        <v>1.1086839104603012</v>
      </c>
      <c r="F44" s="253" t="s">
        <v>255</v>
      </c>
      <c r="G44" s="41">
        <f t="shared" si="2"/>
        <v>134.15075316569644</v>
      </c>
      <c r="H44" s="208">
        <v>42898</v>
      </c>
      <c r="I44" s="209">
        <v>1</v>
      </c>
      <c r="J44" s="154"/>
      <c r="K44" s="296" t="s">
        <v>25</v>
      </c>
      <c r="P44" s="244">
        <v>43344</v>
      </c>
      <c r="Q44" s="229">
        <v>739.43200000000002</v>
      </c>
      <c r="R44" s="244">
        <v>44013</v>
      </c>
      <c r="S44" s="229">
        <v>795.23500000000001</v>
      </c>
    </row>
    <row r="45" spans="1:19" s="210" customFormat="1" ht="15.75" customHeight="1">
      <c r="A45" s="207"/>
      <c r="B45" s="39" t="s">
        <v>415</v>
      </c>
      <c r="C45" s="40" t="s">
        <v>416</v>
      </c>
      <c r="D45" s="41">
        <v>1722</v>
      </c>
      <c r="E45" s="253">
        <f>N42/L30</f>
        <v>1.1060288570915404</v>
      </c>
      <c r="F45" s="253" t="s">
        <v>255</v>
      </c>
      <c r="G45" s="41">
        <f t="shared" si="2"/>
        <v>1904.5816919116326</v>
      </c>
      <c r="H45" s="208">
        <v>42927</v>
      </c>
      <c r="I45" s="209">
        <v>4</v>
      </c>
      <c r="J45" s="154"/>
      <c r="P45" s="244">
        <v>43374</v>
      </c>
      <c r="Q45" s="229">
        <v>741.85900000000004</v>
      </c>
      <c r="R45" s="244">
        <v>44044</v>
      </c>
      <c r="S45" s="229">
        <v>801.77700000000004</v>
      </c>
    </row>
    <row r="46" spans="1:19" s="210" customFormat="1" ht="15.75" customHeight="1">
      <c r="A46" s="207"/>
      <c r="B46" s="39" t="s">
        <v>417</v>
      </c>
      <c r="C46" s="40" t="s">
        <v>418</v>
      </c>
      <c r="D46" s="41">
        <v>1900</v>
      </c>
      <c r="E46" s="253">
        <f t="shared" ref="E46:E55" si="3">$N$42/$L$30</f>
        <v>1.1060288570915404</v>
      </c>
      <c r="F46" s="253" t="s">
        <v>255</v>
      </c>
      <c r="G46" s="41">
        <f t="shared" si="2"/>
        <v>2101.4548284739267</v>
      </c>
      <c r="H46" s="208">
        <v>42927</v>
      </c>
      <c r="I46" s="209">
        <v>2</v>
      </c>
      <c r="J46" s="154"/>
      <c r="M46" s="232"/>
      <c r="N46" s="233"/>
      <c r="P46" s="296" t="s">
        <v>419</v>
      </c>
    </row>
    <row r="47" spans="1:19" s="210" customFormat="1" ht="15.75" customHeight="1">
      <c r="A47" s="207"/>
      <c r="B47" s="39" t="s">
        <v>420</v>
      </c>
      <c r="C47" s="40" t="s">
        <v>421</v>
      </c>
      <c r="D47" s="41">
        <v>3200</v>
      </c>
      <c r="E47" s="253">
        <f t="shared" si="3"/>
        <v>1.1060288570915404</v>
      </c>
      <c r="F47" s="253" t="s">
        <v>255</v>
      </c>
      <c r="G47" s="41">
        <f t="shared" si="2"/>
        <v>3539.2923426929292</v>
      </c>
      <c r="H47" s="208">
        <v>42927</v>
      </c>
      <c r="I47" s="209">
        <v>1</v>
      </c>
      <c r="J47" s="154"/>
      <c r="K47" s="373"/>
      <c r="L47" s="243"/>
    </row>
    <row r="48" spans="1:19" s="210" customFormat="1" ht="15.75" customHeight="1">
      <c r="A48" s="207"/>
      <c r="B48" s="39" t="s">
        <v>422</v>
      </c>
      <c r="C48" s="40" t="s">
        <v>423</v>
      </c>
      <c r="D48" s="41">
        <v>3065</v>
      </c>
      <c r="E48" s="253">
        <f t="shared" si="3"/>
        <v>1.1060288570915404</v>
      </c>
      <c r="F48" s="253" t="s">
        <v>255</v>
      </c>
      <c r="G48" s="41">
        <f t="shared" si="2"/>
        <v>3389.9784469855713</v>
      </c>
      <c r="H48" s="208">
        <v>42927</v>
      </c>
      <c r="I48" s="209">
        <v>1</v>
      </c>
      <c r="J48" s="154"/>
      <c r="K48" s="373"/>
      <c r="L48" s="243"/>
    </row>
    <row r="49" spans="1:14" s="210" customFormat="1" ht="15.75" customHeight="1">
      <c r="A49" s="207"/>
      <c r="B49" s="39" t="s">
        <v>424</v>
      </c>
      <c r="C49" s="40" t="s">
        <v>425</v>
      </c>
      <c r="D49" s="41">
        <v>815</v>
      </c>
      <c r="E49" s="253">
        <f t="shared" si="3"/>
        <v>1.1060288570915404</v>
      </c>
      <c r="F49" s="253" t="s">
        <v>255</v>
      </c>
      <c r="G49" s="41">
        <f t="shared" si="2"/>
        <v>901.41351852960543</v>
      </c>
      <c r="H49" s="208">
        <v>42927</v>
      </c>
      <c r="I49" s="209">
        <v>1</v>
      </c>
      <c r="J49" s="154"/>
      <c r="K49" s="373"/>
      <c r="L49" s="243"/>
    </row>
    <row r="50" spans="1:14" s="210" customFormat="1" ht="15.75" customHeight="1">
      <c r="A50" s="207"/>
      <c r="B50" s="39" t="s">
        <v>426</v>
      </c>
      <c r="C50" s="40" t="s">
        <v>427</v>
      </c>
      <c r="D50" s="41">
        <v>2680</v>
      </c>
      <c r="E50" s="253">
        <f t="shared" si="3"/>
        <v>1.1060288570915404</v>
      </c>
      <c r="F50" s="253" t="s">
        <v>255</v>
      </c>
      <c r="G50" s="41">
        <f t="shared" si="2"/>
        <v>2964.1573370053284</v>
      </c>
      <c r="H50" s="208">
        <v>42927</v>
      </c>
      <c r="I50" s="209">
        <v>4</v>
      </c>
      <c r="J50" s="154"/>
      <c r="K50" s="373"/>
      <c r="L50" s="243"/>
    </row>
    <row r="51" spans="1:14" s="210" customFormat="1" ht="15.75" customHeight="1">
      <c r="A51" s="207"/>
      <c r="B51" s="39" t="s">
        <v>428</v>
      </c>
      <c r="C51" s="40" t="s">
        <v>429</v>
      </c>
      <c r="D51" s="41">
        <v>53410</v>
      </c>
      <c r="E51" s="253">
        <f t="shared" si="3"/>
        <v>1.1060288570915404</v>
      </c>
      <c r="F51" s="253" t="s">
        <v>255</v>
      </c>
      <c r="G51" s="41">
        <f t="shared" si="2"/>
        <v>59073.001257259173</v>
      </c>
      <c r="H51" s="208">
        <v>42927</v>
      </c>
      <c r="I51" s="209">
        <v>49</v>
      </c>
      <c r="J51" s="154"/>
      <c r="K51" s="373"/>
      <c r="L51" s="243"/>
      <c r="M51" s="10"/>
      <c r="N51" s="10"/>
    </row>
    <row r="52" spans="1:14" s="210" customFormat="1" ht="15.75" customHeight="1">
      <c r="A52" s="207"/>
      <c r="B52" s="39" t="s">
        <v>430</v>
      </c>
      <c r="C52" s="40" t="s">
        <v>431</v>
      </c>
      <c r="D52" s="41">
        <v>15600</v>
      </c>
      <c r="E52" s="253">
        <f t="shared" si="3"/>
        <v>1.1060288570915404</v>
      </c>
      <c r="F52" s="253" t="s">
        <v>255</v>
      </c>
      <c r="G52" s="41">
        <f t="shared" si="2"/>
        <v>17254.05017062803</v>
      </c>
      <c r="H52" s="208">
        <v>42927</v>
      </c>
      <c r="I52" s="209">
        <v>12</v>
      </c>
      <c r="J52" s="154"/>
      <c r="K52" s="373"/>
      <c r="L52" s="243"/>
      <c r="M52" s="10"/>
      <c r="N52" s="10"/>
    </row>
    <row r="53" spans="1:14" s="210" customFormat="1" ht="15.75" customHeight="1">
      <c r="A53" s="207"/>
      <c r="B53" s="39" t="s">
        <v>432</v>
      </c>
      <c r="C53" s="40" t="s">
        <v>433</v>
      </c>
      <c r="D53" s="41">
        <v>2692.18</v>
      </c>
      <c r="E53" s="253">
        <f t="shared" si="3"/>
        <v>1.1060288570915404</v>
      </c>
      <c r="F53" s="253" t="s">
        <v>255</v>
      </c>
      <c r="G53" s="41">
        <f t="shared" si="2"/>
        <v>2977.628768484703</v>
      </c>
      <c r="H53" s="208">
        <v>42927</v>
      </c>
      <c r="I53" s="209">
        <v>2</v>
      </c>
      <c r="J53" s="154"/>
      <c r="K53" s="373"/>
      <c r="L53" s="243"/>
      <c r="M53" s="10"/>
      <c r="N53" s="10"/>
    </row>
    <row r="54" spans="1:14" s="210" customFormat="1" ht="15.75" customHeight="1">
      <c r="A54" s="207"/>
      <c r="B54" s="39" t="s">
        <v>434</v>
      </c>
      <c r="C54" s="40" t="s">
        <v>435</v>
      </c>
      <c r="D54" s="41">
        <v>2672</v>
      </c>
      <c r="E54" s="253">
        <f t="shared" si="3"/>
        <v>1.1060288570915404</v>
      </c>
      <c r="F54" s="253" t="s">
        <v>255</v>
      </c>
      <c r="G54" s="41">
        <f t="shared" si="2"/>
        <v>2955.3091061485961</v>
      </c>
      <c r="H54" s="208">
        <v>42927</v>
      </c>
      <c r="I54" s="209">
        <v>1</v>
      </c>
      <c r="J54" s="154"/>
      <c r="K54" s="373"/>
      <c r="L54" s="243"/>
      <c r="M54" s="10"/>
      <c r="N54" s="10"/>
    </row>
    <row r="55" spans="1:14" s="210" customFormat="1" ht="15.75" customHeight="1">
      <c r="A55" s="207"/>
      <c r="B55" s="39" t="s">
        <v>436</v>
      </c>
      <c r="C55" s="40" t="s">
        <v>437</v>
      </c>
      <c r="D55" s="41">
        <v>2627.82</v>
      </c>
      <c r="E55" s="253">
        <f t="shared" si="3"/>
        <v>1.1060288570915404</v>
      </c>
      <c r="F55" s="253" t="s">
        <v>255</v>
      </c>
      <c r="G55" s="41">
        <f>D55*E55</f>
        <v>2906.4447512422921</v>
      </c>
      <c r="H55" s="208">
        <v>42927</v>
      </c>
      <c r="I55" s="209">
        <v>2</v>
      </c>
      <c r="J55" s="154"/>
      <c r="K55" s="373"/>
      <c r="L55" s="243"/>
      <c r="M55" s="10"/>
      <c r="N55" s="10"/>
    </row>
    <row r="56" spans="1:14" s="210" customFormat="1" ht="15.75" customHeight="1">
      <c r="A56" s="207"/>
      <c r="B56" s="39" t="s">
        <v>438</v>
      </c>
      <c r="C56" s="40" t="s">
        <v>439</v>
      </c>
      <c r="D56" s="41">
        <v>128897524.46747264</v>
      </c>
      <c r="E56" s="254"/>
      <c r="F56" s="254"/>
      <c r="G56" s="41">
        <f>D56</f>
        <v>128897524.46747264</v>
      </c>
      <c r="H56" s="55">
        <v>42736</v>
      </c>
      <c r="I56" s="57"/>
      <c r="J56" s="154"/>
      <c r="K56" s="373"/>
      <c r="L56" s="243"/>
      <c r="M56" s="10"/>
      <c r="N56" s="10"/>
    </row>
    <row r="57" spans="1:14" ht="9.6" customHeight="1">
      <c r="B57" s="36"/>
      <c r="C57" s="33"/>
      <c r="D57" s="34"/>
      <c r="E57" s="255"/>
      <c r="F57" s="255"/>
      <c r="G57" s="34"/>
    </row>
    <row r="58" spans="1:14" ht="15.75">
      <c r="B58" s="365">
        <v>2</v>
      </c>
      <c r="C58" s="366" t="s">
        <v>440</v>
      </c>
      <c r="D58" s="367">
        <f>SUM(D59:D91)</f>
        <v>45928379.368839897</v>
      </c>
      <c r="E58" s="368">
        <f>SUM(E59:E91)</f>
        <v>47362826.470921934</v>
      </c>
      <c r="F58" s="261" t="s">
        <v>441</v>
      </c>
      <c r="G58" s="58" t="s">
        <v>442</v>
      </c>
      <c r="H58" s="61" t="s">
        <v>443</v>
      </c>
      <c r="I58" s="62">
        <v>44074</v>
      </c>
      <c r="J58" s="53" t="s">
        <v>444</v>
      </c>
      <c r="K58" s="61" t="s">
        <v>445</v>
      </c>
      <c r="L58" s="61" t="s">
        <v>446</v>
      </c>
    </row>
    <row r="59" spans="1:14" ht="15.75">
      <c r="B59" s="39" t="s">
        <v>447</v>
      </c>
      <c r="C59" s="40" t="s">
        <v>369</v>
      </c>
      <c r="D59" s="41">
        <f>(D22*J59)*K59</f>
        <v>21012.860166666669</v>
      </c>
      <c r="E59" s="254">
        <f>(G22*J59)*K59</f>
        <v>26450.305459844585</v>
      </c>
      <c r="F59" s="63">
        <v>10</v>
      </c>
      <c r="G59" s="60">
        <v>0.1</v>
      </c>
      <c r="H59" s="440">
        <f>DATEDIF(H22,$I$58,"y")</f>
        <v>3</v>
      </c>
      <c r="I59" s="440">
        <v>8423</v>
      </c>
      <c r="J59" s="59">
        <f>G59/12</f>
        <v>8.3333333333333332E-3</v>
      </c>
      <c r="K59" s="52">
        <f>DATEDIF(H22,$I$58,"m")</f>
        <v>43</v>
      </c>
      <c r="L59" s="192">
        <f>G22*G59</f>
        <v>7381.4805934450014</v>
      </c>
    </row>
    <row r="60" spans="1:14" ht="15.75">
      <c r="B60" s="39" t="s">
        <v>448</v>
      </c>
      <c r="C60" s="40" t="s">
        <v>369</v>
      </c>
      <c r="D60" s="41">
        <f>(D23*J60)*K60</f>
        <v>15452.526583333334</v>
      </c>
      <c r="E60" s="254">
        <f>(G23*J60)*K60</f>
        <v>19451.138255986043</v>
      </c>
      <c r="F60" s="155">
        <v>10</v>
      </c>
      <c r="G60" s="156">
        <v>0.1</v>
      </c>
      <c r="H60" s="440">
        <f>DATEDIF(H23,$I$58,"y")</f>
        <v>3</v>
      </c>
      <c r="I60" s="440">
        <v>8423</v>
      </c>
      <c r="J60" s="59">
        <f>G60/12</f>
        <v>8.3333333333333332E-3</v>
      </c>
      <c r="K60" s="52">
        <f>DATEDIF(H23,$I$58,"m")</f>
        <v>43</v>
      </c>
      <c r="L60" s="192">
        <f>G23*G60</f>
        <v>5428.2246295775003</v>
      </c>
    </row>
    <row r="61" spans="1:14" ht="15.75">
      <c r="B61" s="39" t="s">
        <v>449</v>
      </c>
      <c r="C61" s="40" t="s">
        <v>373</v>
      </c>
      <c r="D61" s="41">
        <f>(D24*J61)*K61</f>
        <v>95274.144444444435</v>
      </c>
      <c r="E61" s="254">
        <f>(G24*J61)*K61</f>
        <v>119927.9966169722</v>
      </c>
      <c r="F61" s="155">
        <v>5</v>
      </c>
      <c r="G61" s="156">
        <v>0.2</v>
      </c>
      <c r="H61" s="440">
        <f>DATEDIF(H24,$I$58,"y")</f>
        <v>3</v>
      </c>
      <c r="I61" s="440">
        <v>8525</v>
      </c>
      <c r="J61" s="59">
        <f>G61/12</f>
        <v>1.6666666666666666E-2</v>
      </c>
      <c r="K61" s="52">
        <f>DATEDIF(H24,$I$58,"m")</f>
        <v>43</v>
      </c>
      <c r="L61" s="192">
        <f>G24*G61</f>
        <v>33468.278125666664</v>
      </c>
    </row>
    <row r="62" spans="1:14" ht="15.75">
      <c r="B62" s="39" t="s">
        <v>450</v>
      </c>
      <c r="C62" s="40" t="s">
        <v>381</v>
      </c>
      <c r="D62" s="41">
        <f t="shared" ref="D62:D69" si="4">(D27/8212000)*2344937</f>
        <v>185547.23776819897</v>
      </c>
      <c r="E62" s="254">
        <f t="shared" ref="E62:E69" si="5">(G27/8212000)*2344937</f>
        <v>215413.39685565783</v>
      </c>
      <c r="F62" s="155"/>
      <c r="G62" s="156"/>
      <c r="H62" s="440"/>
      <c r="I62" s="440"/>
      <c r="J62" s="59"/>
      <c r="K62" s="52">
        <f t="shared" ref="K62:K90" si="6">DATEDIF(H27,$I$58,"m")</f>
        <v>43</v>
      </c>
      <c r="L62" s="192">
        <f t="shared" ref="L62:L69" si="7">(G27/8212000)*824652</f>
        <v>75755.164656369001</v>
      </c>
      <c r="M62" s="198"/>
    </row>
    <row r="63" spans="1:14" ht="15.75">
      <c r="B63" s="39" t="s">
        <v>451</v>
      </c>
      <c r="C63" s="40" t="s">
        <v>385</v>
      </c>
      <c r="D63" s="41">
        <f t="shared" si="4"/>
        <v>90595.85573236605</v>
      </c>
      <c r="E63" s="254">
        <f t="shared" si="5"/>
        <v>94944.629223765238</v>
      </c>
      <c r="F63" s="155"/>
      <c r="G63" s="156"/>
      <c r="H63" s="440"/>
      <c r="I63" s="440"/>
      <c r="J63" s="59"/>
      <c r="K63" s="52">
        <f t="shared" si="6"/>
        <v>13</v>
      </c>
      <c r="L63" s="192">
        <f t="shared" si="7"/>
        <v>33389.501883690886</v>
      </c>
      <c r="M63" s="198"/>
    </row>
    <row r="64" spans="1:14" ht="15.75">
      <c r="B64" s="39" t="s">
        <v>452</v>
      </c>
      <c r="C64" s="40" t="s">
        <v>387</v>
      </c>
      <c r="D64" s="41">
        <f t="shared" si="4"/>
        <v>95639.983122794685</v>
      </c>
      <c r="E64" s="254">
        <f t="shared" si="5"/>
        <v>98286.992232915523</v>
      </c>
      <c r="F64" s="155"/>
      <c r="G64" s="156"/>
      <c r="H64" s="440"/>
      <c r="I64" s="440"/>
      <c r="J64" s="59"/>
      <c r="K64" s="52">
        <f t="shared" si="6"/>
        <v>6</v>
      </c>
      <c r="L64" s="192">
        <f t="shared" si="7"/>
        <v>34564.922093368928</v>
      </c>
      <c r="M64" s="198"/>
    </row>
    <row r="65" spans="2:13" ht="15.75">
      <c r="B65" s="39" t="s">
        <v>453</v>
      </c>
      <c r="C65" s="40" t="s">
        <v>389</v>
      </c>
      <c r="D65" s="41">
        <f t="shared" si="4"/>
        <v>163497.69121698127</v>
      </c>
      <c r="E65" s="254">
        <f t="shared" si="5"/>
        <v>168022.78484418752</v>
      </c>
      <c r="F65" s="155"/>
      <c r="G65" s="156"/>
      <c r="H65" s="440"/>
      <c r="I65" s="440"/>
      <c r="J65" s="59"/>
      <c r="K65" s="52">
        <f t="shared" si="6"/>
        <v>6</v>
      </c>
      <c r="L65" s="192">
        <f t="shared" si="7"/>
        <v>59089.146346929119</v>
      </c>
      <c r="M65" s="198"/>
    </row>
    <row r="66" spans="2:13" ht="15.75">
      <c r="B66" s="39" t="s">
        <v>454</v>
      </c>
      <c r="C66" s="40" t="s">
        <v>391</v>
      </c>
      <c r="D66" s="41">
        <f t="shared" si="4"/>
        <v>1363905.0533258</v>
      </c>
      <c r="E66" s="254">
        <f t="shared" si="5"/>
        <v>1583442.7074174574</v>
      </c>
      <c r="F66" s="155"/>
      <c r="G66" s="156"/>
      <c r="H66" s="440"/>
      <c r="I66" s="440"/>
      <c r="J66" s="59"/>
      <c r="K66" s="52">
        <f t="shared" si="6"/>
        <v>43</v>
      </c>
      <c r="L66" s="192">
        <f t="shared" si="7"/>
        <v>556854.70251747535</v>
      </c>
      <c r="M66" s="198"/>
    </row>
    <row r="67" spans="2:13" ht="30">
      <c r="B67" s="39" t="s">
        <v>455</v>
      </c>
      <c r="C67" s="40" t="s">
        <v>393</v>
      </c>
      <c r="D67" s="41">
        <f t="shared" si="4"/>
        <v>4757442.8827864183</v>
      </c>
      <c r="E67" s="254">
        <f t="shared" si="5"/>
        <v>5523213.0860825973</v>
      </c>
      <c r="F67" s="155"/>
      <c r="G67" s="156"/>
      <c r="H67" s="440"/>
      <c r="I67" s="440"/>
      <c r="J67" s="59"/>
      <c r="K67" s="52">
        <f t="shared" si="6"/>
        <v>43</v>
      </c>
      <c r="L67" s="269">
        <f t="shared" si="7"/>
        <v>1942367.2012784078</v>
      </c>
      <c r="M67" s="198"/>
    </row>
    <row r="68" spans="2:13" ht="15.75">
      <c r="B68" s="39" t="s">
        <v>456</v>
      </c>
      <c r="C68" s="40" t="s">
        <v>395</v>
      </c>
      <c r="D68" s="41">
        <f t="shared" si="4"/>
        <v>1312626.5181236933</v>
      </c>
      <c r="E68" s="254">
        <f t="shared" si="5"/>
        <v>1523910.2477239973</v>
      </c>
      <c r="F68" s="155"/>
      <c r="G68" s="156"/>
      <c r="H68" s="440"/>
      <c r="I68" s="440"/>
      <c r="J68" s="59"/>
      <c r="K68" s="52">
        <f t="shared" si="6"/>
        <v>43</v>
      </c>
      <c r="L68" s="192">
        <f t="shared" si="7"/>
        <v>535918.71918353869</v>
      </c>
      <c r="M68" s="198"/>
    </row>
    <row r="69" spans="2:13" ht="15.75">
      <c r="B69" s="39" t="s">
        <v>457</v>
      </c>
      <c r="C69" s="40" t="s">
        <v>397</v>
      </c>
      <c r="D69" s="41">
        <f t="shared" si="4"/>
        <v>985329.69763631164</v>
      </c>
      <c r="E69" s="254">
        <f t="shared" si="5"/>
        <v>1143930.8919045213</v>
      </c>
      <c r="F69" s="155"/>
      <c r="G69" s="156"/>
      <c r="H69" s="440"/>
      <c r="I69" s="440"/>
      <c r="J69" s="59"/>
      <c r="K69" s="52">
        <f t="shared" si="6"/>
        <v>43</v>
      </c>
      <c r="L69" s="192">
        <f t="shared" si="7"/>
        <v>402290.08193859673</v>
      </c>
      <c r="M69" s="198"/>
    </row>
    <row r="70" spans="2:13" ht="15.75">
      <c r="B70" s="39" t="s">
        <v>458</v>
      </c>
      <c r="C70" s="40" t="s">
        <v>399</v>
      </c>
      <c r="D70" s="41">
        <f t="shared" ref="D70:D90" si="8">(D35*J70)*K70</f>
        <v>1282.3583333333333</v>
      </c>
      <c r="E70" s="254">
        <f t="shared" ref="E70:E90" si="9">(G35*J70)*K70</f>
        <v>1418.3253217984793</v>
      </c>
      <c r="F70" s="155">
        <v>5</v>
      </c>
      <c r="G70" s="156">
        <v>0.2</v>
      </c>
      <c r="H70" s="440">
        <f t="shared" ref="H70:H91" si="10">DATEDIF(H35,$I$58,"y")</f>
        <v>3</v>
      </c>
      <c r="I70" s="440">
        <v>8525</v>
      </c>
      <c r="J70" s="59">
        <f t="shared" ref="J70:J90" si="11">G70/12</f>
        <v>1.6666666666666666E-2</v>
      </c>
      <c r="K70" s="52">
        <f t="shared" si="6"/>
        <v>37</v>
      </c>
      <c r="L70" s="192">
        <f t="shared" ref="L70:L90" si="12">G35*G70</f>
        <v>459.99740166437169</v>
      </c>
      <c r="M70" s="198"/>
    </row>
    <row r="71" spans="2:13" ht="15.75">
      <c r="B71" s="39" t="s">
        <v>459</v>
      </c>
      <c r="C71" s="40" t="s">
        <v>400</v>
      </c>
      <c r="D71" s="41">
        <f t="shared" si="8"/>
        <v>21.5</v>
      </c>
      <c r="E71" s="254">
        <f t="shared" si="9"/>
        <v>24.027741794173785</v>
      </c>
      <c r="F71" s="155">
        <v>10</v>
      </c>
      <c r="G71" s="156">
        <v>0.1</v>
      </c>
      <c r="H71" s="440">
        <f t="shared" si="10"/>
        <v>3</v>
      </c>
      <c r="I71" s="440">
        <v>9403</v>
      </c>
      <c r="J71" s="59">
        <f t="shared" si="11"/>
        <v>8.3333333333333332E-3</v>
      </c>
      <c r="K71" s="52">
        <f t="shared" si="6"/>
        <v>43</v>
      </c>
      <c r="L71" s="192">
        <f t="shared" si="12"/>
        <v>6.7054163146531494</v>
      </c>
      <c r="M71" s="198"/>
    </row>
    <row r="72" spans="2:13" ht="15.75">
      <c r="B72" s="39" t="s">
        <v>460</v>
      </c>
      <c r="C72" s="40" t="s">
        <v>401</v>
      </c>
      <c r="D72" s="41">
        <f t="shared" si="8"/>
        <v>801.05</v>
      </c>
      <c r="E72" s="254">
        <f t="shared" si="9"/>
        <v>885.98441597317833</v>
      </c>
      <c r="F72" s="155">
        <v>10</v>
      </c>
      <c r="G72" s="156">
        <v>0.1</v>
      </c>
      <c r="H72" s="440">
        <f t="shared" si="10"/>
        <v>3</v>
      </c>
      <c r="I72" s="440">
        <v>9403</v>
      </c>
      <c r="J72" s="59">
        <f t="shared" si="11"/>
        <v>8.3333333333333332E-3</v>
      </c>
      <c r="K72" s="52">
        <f t="shared" si="6"/>
        <v>37</v>
      </c>
      <c r="L72" s="192">
        <f t="shared" si="12"/>
        <v>287.34629707238219</v>
      </c>
      <c r="M72" s="198"/>
    </row>
    <row r="73" spans="2:13" ht="15.75">
      <c r="B73" s="39" t="s">
        <v>461</v>
      </c>
      <c r="C73" s="40" t="s">
        <v>402</v>
      </c>
      <c r="D73" s="41">
        <f t="shared" si="8"/>
        <v>187.76666666666665</v>
      </c>
      <c r="E73" s="254">
        <f t="shared" si="9"/>
        <v>209.84227833578436</v>
      </c>
      <c r="F73" s="155">
        <v>10</v>
      </c>
      <c r="G73" s="156">
        <v>0.1</v>
      </c>
      <c r="H73" s="440">
        <f t="shared" si="10"/>
        <v>3</v>
      </c>
      <c r="I73" s="440">
        <v>9403</v>
      </c>
      <c r="J73" s="59">
        <f t="shared" si="11"/>
        <v>8.3333333333333332E-3</v>
      </c>
      <c r="K73" s="52">
        <f t="shared" si="6"/>
        <v>43</v>
      </c>
      <c r="L73" s="192">
        <f t="shared" si="12"/>
        <v>58.5606358146375</v>
      </c>
      <c r="M73" s="198"/>
    </row>
    <row r="74" spans="2:13" ht="15.75">
      <c r="B74" s="39" t="s">
        <v>462</v>
      </c>
      <c r="C74" s="40" t="s">
        <v>404</v>
      </c>
      <c r="D74" s="41">
        <f t="shared" si="8"/>
        <v>169.13333333333333</v>
      </c>
      <c r="E74" s="254">
        <f t="shared" si="9"/>
        <v>189.01823544750042</v>
      </c>
      <c r="F74" s="155">
        <v>10</v>
      </c>
      <c r="G74" s="156">
        <v>0.1</v>
      </c>
      <c r="H74" s="440">
        <f t="shared" si="10"/>
        <v>3</v>
      </c>
      <c r="I74" s="440" t="s">
        <v>463</v>
      </c>
      <c r="J74" s="59">
        <f t="shared" si="11"/>
        <v>8.3333333333333332E-3</v>
      </c>
      <c r="K74" s="52">
        <f t="shared" si="6"/>
        <v>43</v>
      </c>
      <c r="L74" s="192">
        <f t="shared" si="12"/>
        <v>52.749275008604776</v>
      </c>
      <c r="M74" s="198"/>
    </row>
    <row r="75" spans="2:13" ht="15.75">
      <c r="B75" s="39" t="s">
        <v>464</v>
      </c>
      <c r="C75" s="40" t="s">
        <v>406</v>
      </c>
      <c r="D75" s="41">
        <f t="shared" si="8"/>
        <v>653.24166666666667</v>
      </c>
      <c r="E75" s="254">
        <f t="shared" si="9"/>
        <v>730.04288817964675</v>
      </c>
      <c r="F75" s="155">
        <v>10</v>
      </c>
      <c r="G75" s="156">
        <v>0.1</v>
      </c>
      <c r="H75" s="440">
        <f t="shared" si="10"/>
        <v>3</v>
      </c>
      <c r="I75" s="440">
        <v>8418</v>
      </c>
      <c r="J75" s="59">
        <f t="shared" si="11"/>
        <v>8.3333333333333332E-3</v>
      </c>
      <c r="K75" s="52">
        <f t="shared" si="6"/>
        <v>43</v>
      </c>
      <c r="L75" s="192">
        <f t="shared" si="12"/>
        <v>203.73289902687819</v>
      </c>
      <c r="M75" s="198"/>
    </row>
    <row r="76" spans="2:13" ht="15.75">
      <c r="B76" s="39" t="s">
        <v>465</v>
      </c>
      <c r="C76" s="40" t="s">
        <v>408</v>
      </c>
      <c r="D76" s="41">
        <f t="shared" si="8"/>
        <v>1115.1010833333332</v>
      </c>
      <c r="E76" s="254">
        <f t="shared" si="9"/>
        <v>1246.2028327784556</v>
      </c>
      <c r="F76" s="155">
        <v>10</v>
      </c>
      <c r="G76" s="156">
        <v>0.1</v>
      </c>
      <c r="H76" s="440">
        <f t="shared" si="10"/>
        <v>3</v>
      </c>
      <c r="I76" s="440">
        <v>8419</v>
      </c>
      <c r="J76" s="59">
        <f t="shared" si="11"/>
        <v>8.3333333333333332E-3</v>
      </c>
      <c r="K76" s="52">
        <f t="shared" si="6"/>
        <v>43</v>
      </c>
      <c r="L76" s="192">
        <f t="shared" si="12"/>
        <v>347.77753472887139</v>
      </c>
      <c r="M76" s="198"/>
    </row>
    <row r="77" spans="2:13" ht="15.75">
      <c r="B77" s="39" t="s">
        <v>466</v>
      </c>
      <c r="C77" s="40" t="s">
        <v>410</v>
      </c>
      <c r="D77" s="41">
        <f t="shared" si="8"/>
        <v>279.5</v>
      </c>
      <c r="E77" s="254">
        <f t="shared" si="9"/>
        <v>312.36064332425917</v>
      </c>
      <c r="F77" s="155">
        <v>10</v>
      </c>
      <c r="G77" s="156">
        <v>0.1</v>
      </c>
      <c r="H77" s="440">
        <f t="shared" si="10"/>
        <v>3</v>
      </c>
      <c r="I77" s="440">
        <v>7321</v>
      </c>
      <c r="J77" s="59">
        <f t="shared" si="11"/>
        <v>8.3333333333333332E-3</v>
      </c>
      <c r="K77" s="52">
        <f t="shared" si="6"/>
        <v>43</v>
      </c>
      <c r="L77" s="192">
        <f t="shared" si="12"/>
        <v>87.170412090490942</v>
      </c>
      <c r="M77" s="198"/>
    </row>
    <row r="78" spans="2:13" ht="15.75">
      <c r="B78" s="39" t="s">
        <v>467</v>
      </c>
      <c r="C78" s="40" t="s">
        <v>412</v>
      </c>
      <c r="D78" s="41">
        <f t="shared" si="8"/>
        <v>14.376666666666665</v>
      </c>
      <c r="E78" s="254">
        <f t="shared" si="9"/>
        <v>15.939179019384262</v>
      </c>
      <c r="F78" s="155">
        <v>10</v>
      </c>
      <c r="G78" s="156">
        <v>0.1</v>
      </c>
      <c r="H78" s="440">
        <f t="shared" si="10"/>
        <v>3</v>
      </c>
      <c r="I78" s="440">
        <v>9007</v>
      </c>
      <c r="J78" s="59">
        <f t="shared" si="11"/>
        <v>8.3333333333333332E-3</v>
      </c>
      <c r="K78" s="52">
        <f t="shared" si="6"/>
        <v>38</v>
      </c>
      <c r="L78" s="192">
        <f t="shared" si="12"/>
        <v>5.0334249534897673</v>
      </c>
      <c r="M78" s="198"/>
    </row>
    <row r="79" spans="2:13" ht="15.75">
      <c r="B79" s="39" t="s">
        <v>468</v>
      </c>
      <c r="C79" s="40" t="s">
        <v>414</v>
      </c>
      <c r="D79" s="41">
        <f t="shared" si="8"/>
        <v>38.316666666666663</v>
      </c>
      <c r="E79" s="254">
        <f t="shared" si="9"/>
        <v>42.481071835803874</v>
      </c>
      <c r="F79" s="155">
        <v>10</v>
      </c>
      <c r="G79" s="156">
        <v>0.1</v>
      </c>
      <c r="H79" s="440">
        <f t="shared" si="10"/>
        <v>3</v>
      </c>
      <c r="I79" s="440">
        <v>9007</v>
      </c>
      <c r="J79" s="59">
        <f t="shared" si="11"/>
        <v>8.3333333333333332E-3</v>
      </c>
      <c r="K79" s="52">
        <f t="shared" si="6"/>
        <v>38</v>
      </c>
      <c r="L79" s="192">
        <f t="shared" si="12"/>
        <v>13.415075316569645</v>
      </c>
      <c r="M79" s="198"/>
    </row>
    <row r="80" spans="2:13" ht="15.75">
      <c r="B80" s="39" t="s">
        <v>469</v>
      </c>
      <c r="C80" s="40" t="s">
        <v>416</v>
      </c>
      <c r="D80" s="41">
        <f t="shared" si="8"/>
        <v>1061.8999999999999</v>
      </c>
      <c r="E80" s="254">
        <f t="shared" si="9"/>
        <v>1174.4920433455068</v>
      </c>
      <c r="F80" s="155">
        <v>5</v>
      </c>
      <c r="G80" s="156">
        <v>0.2</v>
      </c>
      <c r="H80" s="440">
        <f t="shared" si="10"/>
        <v>3</v>
      </c>
      <c r="I80" s="440">
        <v>8525</v>
      </c>
      <c r="J80" s="59">
        <f t="shared" si="11"/>
        <v>1.6666666666666666E-2</v>
      </c>
      <c r="K80" s="52">
        <f t="shared" si="6"/>
        <v>37</v>
      </c>
      <c r="L80" s="192">
        <f t="shared" si="12"/>
        <v>380.91633838232656</v>
      </c>
      <c r="M80" s="198"/>
    </row>
    <row r="81" spans="1:13" ht="15.75">
      <c r="B81" s="39" t="s">
        <v>470</v>
      </c>
      <c r="C81" s="40" t="s">
        <v>418</v>
      </c>
      <c r="D81" s="41">
        <f t="shared" si="8"/>
        <v>1171.6666666666667</v>
      </c>
      <c r="E81" s="254">
        <f t="shared" si="9"/>
        <v>1295.8971442255881</v>
      </c>
      <c r="F81" s="155">
        <v>5</v>
      </c>
      <c r="G81" s="156">
        <v>0.2</v>
      </c>
      <c r="H81" s="440">
        <f t="shared" si="10"/>
        <v>3</v>
      </c>
      <c r="I81" s="440">
        <v>8525</v>
      </c>
      <c r="J81" s="59">
        <f t="shared" si="11"/>
        <v>1.6666666666666666E-2</v>
      </c>
      <c r="K81" s="52">
        <f t="shared" si="6"/>
        <v>37</v>
      </c>
      <c r="L81" s="192">
        <f t="shared" si="12"/>
        <v>420.29096569478537</v>
      </c>
      <c r="M81" s="198"/>
    </row>
    <row r="82" spans="1:13" ht="15.75">
      <c r="B82" s="39" t="s">
        <v>471</v>
      </c>
      <c r="C82" s="40" t="s">
        <v>421</v>
      </c>
      <c r="D82" s="41">
        <f t="shared" si="8"/>
        <v>1973.3333333333335</v>
      </c>
      <c r="E82" s="254">
        <f t="shared" si="9"/>
        <v>2182.5636113273063</v>
      </c>
      <c r="F82" s="155">
        <v>5</v>
      </c>
      <c r="G82" s="156">
        <v>0.2</v>
      </c>
      <c r="H82" s="440">
        <f t="shared" si="10"/>
        <v>3</v>
      </c>
      <c r="I82" s="440">
        <v>8525</v>
      </c>
      <c r="J82" s="59">
        <f t="shared" si="11"/>
        <v>1.6666666666666666E-2</v>
      </c>
      <c r="K82" s="52">
        <f t="shared" si="6"/>
        <v>37</v>
      </c>
      <c r="L82" s="192">
        <f t="shared" si="12"/>
        <v>707.85846853858584</v>
      </c>
      <c r="M82" s="198"/>
    </row>
    <row r="83" spans="1:13" ht="15.75">
      <c r="B83" s="39" t="s">
        <v>472</v>
      </c>
      <c r="C83" s="40" t="s">
        <v>423</v>
      </c>
      <c r="D83" s="41">
        <f t="shared" si="8"/>
        <v>945.04166666666674</v>
      </c>
      <c r="E83" s="254">
        <f t="shared" si="9"/>
        <v>1045.2433544872176</v>
      </c>
      <c r="F83" s="155">
        <v>10</v>
      </c>
      <c r="G83" s="156">
        <v>0.1</v>
      </c>
      <c r="H83" s="440">
        <f t="shared" si="10"/>
        <v>3</v>
      </c>
      <c r="I83" s="440">
        <v>9007</v>
      </c>
      <c r="J83" s="59">
        <f t="shared" si="11"/>
        <v>8.3333333333333332E-3</v>
      </c>
      <c r="K83" s="52">
        <f t="shared" si="6"/>
        <v>37</v>
      </c>
      <c r="L83" s="192">
        <f t="shared" si="12"/>
        <v>338.99784469855717</v>
      </c>
      <c r="M83" s="198"/>
    </row>
    <row r="84" spans="1:13" ht="15.75">
      <c r="B84" s="39" t="s">
        <v>473</v>
      </c>
      <c r="C84" s="40" t="s">
        <v>425</v>
      </c>
      <c r="D84" s="41">
        <f t="shared" si="8"/>
        <v>251.29166666666669</v>
      </c>
      <c r="E84" s="254">
        <f t="shared" si="9"/>
        <v>277.93583487996165</v>
      </c>
      <c r="F84" s="155">
        <v>10</v>
      </c>
      <c r="G84" s="156">
        <v>0.1</v>
      </c>
      <c r="H84" s="440">
        <f t="shared" si="10"/>
        <v>3</v>
      </c>
      <c r="I84" s="440">
        <v>9010</v>
      </c>
      <c r="J84" s="59">
        <f t="shared" si="11"/>
        <v>8.3333333333333332E-3</v>
      </c>
      <c r="K84" s="52">
        <f t="shared" si="6"/>
        <v>37</v>
      </c>
      <c r="L84" s="192">
        <f t="shared" si="12"/>
        <v>90.141351852960554</v>
      </c>
      <c r="M84" s="198"/>
    </row>
    <row r="85" spans="1:13" ht="15.75">
      <c r="B85" s="39" t="s">
        <v>474</v>
      </c>
      <c r="C85" s="40" t="s">
        <v>427</v>
      </c>
      <c r="D85" s="41">
        <f t="shared" si="8"/>
        <v>1652.6666666666665</v>
      </c>
      <c r="E85" s="254">
        <f t="shared" si="9"/>
        <v>1827.8970244866191</v>
      </c>
      <c r="F85" s="155">
        <v>5</v>
      </c>
      <c r="G85" s="156">
        <v>0.2</v>
      </c>
      <c r="H85" s="440">
        <f t="shared" si="10"/>
        <v>3</v>
      </c>
      <c r="I85" s="440">
        <v>8525</v>
      </c>
      <c r="J85" s="59">
        <f t="shared" si="11"/>
        <v>1.6666666666666666E-2</v>
      </c>
      <c r="K85" s="52">
        <f t="shared" si="6"/>
        <v>37</v>
      </c>
      <c r="L85" s="192">
        <f t="shared" si="12"/>
        <v>592.83146740106565</v>
      </c>
      <c r="M85" s="198"/>
    </row>
    <row r="86" spans="1:13" ht="15.75">
      <c r="B86" s="39" t="s">
        <v>475</v>
      </c>
      <c r="C86" s="40" t="s">
        <v>429</v>
      </c>
      <c r="D86" s="41">
        <f t="shared" si="8"/>
        <v>16468.083333333332</v>
      </c>
      <c r="E86" s="254">
        <f t="shared" si="9"/>
        <v>18214.175387654912</v>
      </c>
      <c r="F86" s="155">
        <v>10</v>
      </c>
      <c r="G86" s="156">
        <v>0.1</v>
      </c>
      <c r="H86" s="440">
        <f t="shared" si="10"/>
        <v>3</v>
      </c>
      <c r="I86" s="440" t="s">
        <v>463</v>
      </c>
      <c r="J86" s="59">
        <f t="shared" si="11"/>
        <v>8.3333333333333332E-3</v>
      </c>
      <c r="K86" s="52">
        <f t="shared" si="6"/>
        <v>37</v>
      </c>
      <c r="L86" s="192">
        <f t="shared" si="12"/>
        <v>5907.3001257259175</v>
      </c>
      <c r="M86" s="198"/>
    </row>
    <row r="87" spans="1:13" ht="15.75">
      <c r="B87" s="39" t="s">
        <v>476</v>
      </c>
      <c r="C87" s="40" t="s">
        <v>431</v>
      </c>
      <c r="D87" s="41">
        <f t="shared" si="8"/>
        <v>4810</v>
      </c>
      <c r="E87" s="254">
        <f t="shared" si="9"/>
        <v>5319.9988026103101</v>
      </c>
      <c r="F87" s="155">
        <v>10</v>
      </c>
      <c r="G87" s="156">
        <v>0.1</v>
      </c>
      <c r="H87" s="440">
        <f t="shared" si="10"/>
        <v>3</v>
      </c>
      <c r="I87" s="440" t="s">
        <v>463</v>
      </c>
      <c r="J87" s="59">
        <f t="shared" si="11"/>
        <v>8.3333333333333332E-3</v>
      </c>
      <c r="K87" s="52">
        <f t="shared" si="6"/>
        <v>37</v>
      </c>
      <c r="L87" s="192">
        <f t="shared" si="12"/>
        <v>1725.4050170628032</v>
      </c>
      <c r="M87" s="198"/>
    </row>
    <row r="88" spans="1:13" ht="15.75">
      <c r="B88" s="39" t="s">
        <v>477</v>
      </c>
      <c r="C88" s="40" t="s">
        <v>433</v>
      </c>
      <c r="D88" s="41">
        <f t="shared" si="8"/>
        <v>830.08883333333324</v>
      </c>
      <c r="E88" s="254">
        <f t="shared" si="9"/>
        <v>918.10220361611675</v>
      </c>
      <c r="F88" s="155">
        <v>10</v>
      </c>
      <c r="G88" s="156">
        <v>0.1</v>
      </c>
      <c r="H88" s="440">
        <f t="shared" si="10"/>
        <v>3</v>
      </c>
      <c r="I88" s="440" t="s">
        <v>463</v>
      </c>
      <c r="J88" s="59">
        <f t="shared" si="11"/>
        <v>8.3333333333333332E-3</v>
      </c>
      <c r="K88" s="52">
        <f t="shared" si="6"/>
        <v>37</v>
      </c>
      <c r="L88" s="192">
        <f t="shared" si="12"/>
        <v>297.76287684847028</v>
      </c>
      <c r="M88" s="198"/>
    </row>
    <row r="89" spans="1:13" ht="15.75">
      <c r="B89" s="39" t="s">
        <v>478</v>
      </c>
      <c r="C89" s="40" t="s">
        <v>435</v>
      </c>
      <c r="D89" s="41">
        <f t="shared" si="8"/>
        <v>823.86666666666667</v>
      </c>
      <c r="E89" s="254">
        <f t="shared" si="9"/>
        <v>911.22030772915048</v>
      </c>
      <c r="F89" s="155">
        <v>10</v>
      </c>
      <c r="G89" s="156">
        <v>0.1</v>
      </c>
      <c r="H89" s="440">
        <f t="shared" si="10"/>
        <v>3</v>
      </c>
      <c r="I89" s="440" t="s">
        <v>463</v>
      </c>
      <c r="J89" s="59">
        <f t="shared" si="11"/>
        <v>8.3333333333333332E-3</v>
      </c>
      <c r="K89" s="52">
        <f t="shared" si="6"/>
        <v>37</v>
      </c>
      <c r="L89" s="192">
        <f t="shared" si="12"/>
        <v>295.53091061485964</v>
      </c>
      <c r="M89" s="198"/>
    </row>
    <row r="90" spans="1:13" ht="15.75">
      <c r="B90" s="39" t="s">
        <v>479</v>
      </c>
      <c r="C90" s="40" t="s">
        <v>437</v>
      </c>
      <c r="D90" s="41">
        <f t="shared" si="8"/>
        <v>810.24450000000013</v>
      </c>
      <c r="E90" s="254">
        <f t="shared" si="9"/>
        <v>896.15379829970664</v>
      </c>
      <c r="F90" s="155">
        <v>10</v>
      </c>
      <c r="G90" s="156">
        <v>0.1</v>
      </c>
      <c r="H90" s="440">
        <f t="shared" si="10"/>
        <v>3</v>
      </c>
      <c r="I90" s="440" t="s">
        <v>463</v>
      </c>
      <c r="J90" s="59">
        <f t="shared" si="11"/>
        <v>8.3333333333333332E-3</v>
      </c>
      <c r="K90" s="52">
        <f t="shared" si="6"/>
        <v>37</v>
      </c>
      <c r="L90" s="192">
        <f t="shared" si="12"/>
        <v>290.64447512422925</v>
      </c>
      <c r="M90" s="198"/>
    </row>
    <row r="91" spans="1:13" ht="15.75">
      <c r="B91" s="39" t="s">
        <v>480</v>
      </c>
      <c r="C91" s="40" t="s">
        <v>439</v>
      </c>
      <c r="D91" s="41">
        <f>(D56/8212000)*2344937</f>
        <v>36806694.39018289</v>
      </c>
      <c r="E91" s="254">
        <f>D91</f>
        <v>36806694.39018289</v>
      </c>
      <c r="F91" s="155"/>
      <c r="G91" s="156"/>
      <c r="H91" s="440">
        <f t="shared" si="10"/>
        <v>3</v>
      </c>
      <c r="I91" s="440"/>
      <c r="J91" s="59"/>
      <c r="K91" s="52"/>
      <c r="L91" s="192"/>
      <c r="M91" s="198"/>
    </row>
    <row r="92" spans="1:13" s="210" customFormat="1" ht="15.75">
      <c r="A92" s="207"/>
      <c r="B92" s="36"/>
      <c r="C92" s="33"/>
      <c r="D92" s="34"/>
      <c r="E92" s="255"/>
      <c r="F92" s="10"/>
      <c r="G92" s="10"/>
      <c r="H92" s="10"/>
      <c r="I92" s="10"/>
      <c r="J92" s="10"/>
      <c r="K92" s="10"/>
      <c r="L92" s="10"/>
      <c r="M92" s="198"/>
    </row>
    <row r="93" spans="1:13" s="210" customFormat="1" ht="15.75">
      <c r="A93" s="207"/>
      <c r="B93" s="522" t="s">
        <v>481</v>
      </c>
      <c r="C93" s="522"/>
      <c r="D93" s="42">
        <f>D21-D58</f>
        <v>114797862.45196608</v>
      </c>
      <c r="E93" s="256">
        <f>G21-E58</f>
        <v>118360284.13660663</v>
      </c>
      <c r="F93" s="201"/>
      <c r="G93" s="37"/>
      <c r="H93" s="10"/>
      <c r="I93" s="10"/>
      <c r="J93" s="200"/>
      <c r="K93" s="10"/>
      <c r="L93" s="68"/>
      <c r="M93" s="198"/>
    </row>
    <row r="94" spans="1:13" s="210" customFormat="1">
      <c r="A94" s="207"/>
      <c r="M94" s="198"/>
    </row>
    <row r="95" spans="1:13" s="210" customFormat="1">
      <c r="A95" s="207"/>
      <c r="M95" s="198"/>
    </row>
    <row r="96" spans="1:13" s="210" customFormat="1">
      <c r="A96" s="207"/>
      <c r="B96" s="379" t="s">
        <v>482</v>
      </c>
      <c r="C96" s="382"/>
      <c r="D96" s="382"/>
      <c r="E96" s="380"/>
      <c r="M96" s="198"/>
    </row>
    <row r="97" spans="1:13" s="210" customFormat="1">
      <c r="A97" s="207"/>
      <c r="B97" s="379" t="s">
        <v>483</v>
      </c>
      <c r="C97" s="382"/>
      <c r="D97" s="382"/>
      <c r="E97" s="380"/>
      <c r="M97" s="198"/>
    </row>
    <row r="98" spans="1:13" s="210" customFormat="1">
      <c r="A98" s="207"/>
      <c r="B98" s="379" t="s">
        <v>484</v>
      </c>
      <c r="C98" s="382"/>
      <c r="D98" s="382"/>
      <c r="E98" s="380"/>
      <c r="M98" s="198"/>
    </row>
    <row r="99" spans="1:13" s="375" customFormat="1" ht="23.45" customHeight="1">
      <c r="A99" s="374"/>
      <c r="B99" s="377" t="s">
        <v>485</v>
      </c>
      <c r="C99" s="397"/>
      <c r="D99" s="397"/>
      <c r="E99" s="378"/>
      <c r="M99" s="376"/>
    </row>
    <row r="100" spans="1:13" s="210" customFormat="1" ht="15">
      <c r="A100" s="207"/>
      <c r="B100" s="384" t="s">
        <v>486</v>
      </c>
      <c r="C100" s="382"/>
      <c r="D100" s="382"/>
      <c r="E100" s="380"/>
      <c r="M100" s="198"/>
    </row>
    <row r="101" spans="1:13" s="210" customFormat="1" ht="15">
      <c r="A101" s="207"/>
      <c r="B101" s="379" t="s">
        <v>487</v>
      </c>
      <c r="C101" s="385"/>
      <c r="D101" s="382"/>
      <c r="E101" s="396"/>
      <c r="M101" s="198"/>
    </row>
    <row r="102" spans="1:13" s="210" customFormat="1" ht="35.450000000000003" customHeight="1">
      <c r="A102" s="207"/>
      <c r="B102" s="377" t="s">
        <v>488</v>
      </c>
      <c r="C102" s="382"/>
      <c r="D102" s="382"/>
      <c r="E102" s="380"/>
      <c r="H102"/>
      <c r="M102" s="198"/>
    </row>
    <row r="103" spans="1:13" s="210" customFormat="1">
      <c r="A103" s="207"/>
      <c r="B103" s="379" t="s">
        <v>489</v>
      </c>
      <c r="C103" s="382"/>
      <c r="D103" s="382"/>
      <c r="E103" s="380"/>
      <c r="M103" s="198"/>
    </row>
    <row r="104" spans="1:13" s="210" customFormat="1">
      <c r="A104" s="207"/>
      <c r="B104" s="395" t="s">
        <v>490</v>
      </c>
      <c r="C104" s="388"/>
      <c r="D104" s="388"/>
      <c r="E104" s="389"/>
      <c r="M104" s="198"/>
    </row>
    <row r="105" spans="1:13" s="210" customFormat="1" ht="15">
      <c r="A105" s="207"/>
      <c r="B105" s="523" t="s">
        <v>491</v>
      </c>
      <c r="C105" s="524"/>
      <c r="D105" s="394"/>
      <c r="E105" s="387"/>
      <c r="F105"/>
      <c r="M105" s="198"/>
    </row>
    <row r="106" spans="1:13" s="210" customFormat="1">
      <c r="A106" s="207"/>
      <c r="B106" s="523"/>
      <c r="C106" s="524"/>
      <c r="D106" s="386"/>
      <c r="E106" s="387"/>
      <c r="M106" s="198"/>
    </row>
    <row r="107" spans="1:13" s="210" customFormat="1">
      <c r="A107" s="207"/>
      <c r="B107" s="525"/>
      <c r="C107" s="526"/>
      <c r="D107" s="388"/>
      <c r="E107" s="389"/>
      <c r="M107" s="198"/>
    </row>
    <row r="108" spans="1:13" s="210" customFormat="1" ht="37.9" customHeight="1">
      <c r="A108" s="207"/>
      <c r="B108" s="377" t="s">
        <v>492</v>
      </c>
      <c r="C108" s="392"/>
      <c r="D108" s="382"/>
      <c r="E108" s="380"/>
      <c r="M108" s="198"/>
    </row>
    <row r="109" spans="1:13" s="210" customFormat="1" ht="19.149999999999999" customHeight="1">
      <c r="A109" s="207"/>
      <c r="B109" s="377" t="s">
        <v>493</v>
      </c>
      <c r="C109" s="392"/>
      <c r="D109" s="382"/>
      <c r="E109" s="380"/>
      <c r="G109"/>
      <c r="H109"/>
      <c r="M109" s="198"/>
    </row>
    <row r="110" spans="1:13" s="210" customFormat="1" ht="19.149999999999999" customHeight="1">
      <c r="A110" s="207"/>
      <c r="B110" s="377" t="s">
        <v>494</v>
      </c>
      <c r="C110" s="392"/>
      <c r="D110" s="382"/>
      <c r="E110" s="380"/>
      <c r="M110" s="198"/>
    </row>
    <row r="111" spans="1:13" s="210" customFormat="1" ht="54.6" customHeight="1">
      <c r="A111" s="207"/>
      <c r="B111" s="527" t="s">
        <v>495</v>
      </c>
      <c r="C111" s="528"/>
      <c r="D111" s="382"/>
      <c r="E111" s="380"/>
      <c r="M111" s="198"/>
    </row>
    <row r="112" spans="1:13" s="210" customFormat="1" ht="42" customHeight="1">
      <c r="A112" s="207"/>
      <c r="B112" s="383" t="s">
        <v>496</v>
      </c>
      <c r="C112" s="390"/>
      <c r="D112" s="398"/>
      <c r="E112" s="381"/>
      <c r="G112"/>
      <c r="M112" s="198"/>
    </row>
    <row r="113" spans="1:19" s="210" customFormat="1" ht="16.899999999999999" customHeight="1">
      <c r="A113" s="207"/>
      <c r="B113" s="377" t="s">
        <v>497</v>
      </c>
      <c r="C113" s="393"/>
      <c r="D113" s="382"/>
      <c r="E113" s="380"/>
      <c r="M113" s="198"/>
    </row>
    <row r="114" spans="1:19" s="210" customFormat="1">
      <c r="A114" s="207"/>
      <c r="B114" s="441"/>
      <c r="C114" s="441"/>
      <c r="D114" s="386"/>
      <c r="E114" s="386"/>
      <c r="M114" s="198"/>
    </row>
    <row r="115" spans="1:19" ht="13.5" thickBot="1">
      <c r="I115" s="37"/>
    </row>
    <row r="116" spans="1:19" ht="14.45" customHeight="1">
      <c r="B116" s="168"/>
      <c r="C116" s="158" t="s">
        <v>373</v>
      </c>
      <c r="D116" s="158"/>
      <c r="E116" s="257"/>
      <c r="F116" s="169"/>
      <c r="I116" s="37"/>
      <c r="J116" s="391"/>
      <c r="K116" s="391"/>
      <c r="L116" s="391"/>
      <c r="M116" s="391"/>
      <c r="N116" s="391"/>
    </row>
    <row r="117" spans="1:19" ht="14.45" customHeight="1">
      <c r="B117" s="170"/>
      <c r="C117" s="162"/>
      <c r="D117" s="162"/>
      <c r="E117" s="163"/>
      <c r="F117" s="171"/>
      <c r="I117" s="37"/>
      <c r="J117" s="391"/>
      <c r="K117" s="391"/>
      <c r="L117" s="391"/>
      <c r="M117" s="391"/>
      <c r="N117" s="391"/>
    </row>
    <row r="118" spans="1:19" ht="14.45" customHeight="1">
      <c r="B118" s="170"/>
      <c r="C118" s="518" t="s">
        <v>498</v>
      </c>
      <c r="D118" s="519"/>
      <c r="E118" s="520"/>
      <c r="F118" s="171"/>
      <c r="I118" s="37"/>
      <c r="J118" s="391"/>
      <c r="K118" s="391"/>
      <c r="L118" s="391"/>
      <c r="M118" s="391"/>
      <c r="N118" s="391"/>
      <c r="O118" s="210"/>
      <c r="P118" s="210"/>
      <c r="Q118" s="210"/>
      <c r="R118" s="210"/>
      <c r="S118" s="210"/>
    </row>
    <row r="119" spans="1:19" ht="14.45" customHeight="1">
      <c r="B119" s="170"/>
      <c r="C119" s="440" t="s">
        <v>262</v>
      </c>
      <c r="D119" s="440" t="s">
        <v>499</v>
      </c>
      <c r="E119" s="440" t="s">
        <v>500</v>
      </c>
      <c r="F119" s="171"/>
      <c r="I119" s="37"/>
      <c r="J119" s="391"/>
      <c r="K119" s="391"/>
      <c r="L119" s="391"/>
      <c r="M119" s="391"/>
      <c r="N119" s="391"/>
      <c r="O119" s="210"/>
      <c r="P119" s="210"/>
      <c r="Q119" s="210"/>
      <c r="R119" s="210"/>
      <c r="S119" s="210"/>
    </row>
    <row r="120" spans="1:19" ht="14.45" customHeight="1">
      <c r="B120" s="170"/>
      <c r="C120" s="52" t="s">
        <v>501</v>
      </c>
      <c r="D120" s="165">
        <f>7946+7946+11000+11000+15849</f>
        <v>53741</v>
      </c>
      <c r="E120" s="62">
        <v>42734</v>
      </c>
      <c r="F120" s="171"/>
      <c r="I120" s="37"/>
      <c r="J120" s="391"/>
      <c r="K120" s="391"/>
      <c r="L120" s="391"/>
      <c r="M120" s="391"/>
      <c r="N120" s="391"/>
      <c r="O120" s="210"/>
      <c r="P120" s="210"/>
      <c r="Q120" s="210"/>
      <c r="R120" s="210"/>
      <c r="S120" s="210"/>
    </row>
    <row r="121" spans="1:19" ht="14.45" customHeight="1">
      <c r="B121" s="170"/>
      <c r="C121" s="52" t="s">
        <v>502</v>
      </c>
      <c r="D121" s="57">
        <v>35448</v>
      </c>
      <c r="E121" s="62">
        <v>42734</v>
      </c>
      <c r="F121" s="171"/>
      <c r="I121" s="37"/>
      <c r="J121" s="391"/>
      <c r="K121" s="391"/>
      <c r="L121" s="391"/>
      <c r="M121" s="391"/>
      <c r="N121" s="391"/>
      <c r="O121" s="210"/>
      <c r="P121" s="187"/>
      <c r="Q121" s="210"/>
      <c r="R121" s="210"/>
      <c r="S121" s="210"/>
    </row>
    <row r="122" spans="1:19" ht="14.45" customHeight="1">
      <c r="B122" s="170"/>
      <c r="C122" s="52" t="s">
        <v>503</v>
      </c>
      <c r="D122" s="57">
        <v>5000</v>
      </c>
      <c r="E122" s="62">
        <v>42734</v>
      </c>
      <c r="F122" s="171"/>
      <c r="I122" s="37"/>
      <c r="J122" s="391"/>
      <c r="K122" s="391"/>
      <c r="L122" s="391"/>
      <c r="M122" s="391"/>
      <c r="N122" s="391"/>
      <c r="O122" s="268"/>
      <c r="P122" s="210"/>
      <c r="Q122" s="210"/>
      <c r="R122" s="210"/>
      <c r="S122" s="210"/>
    </row>
    <row r="123" spans="1:19" ht="14.45" customHeight="1">
      <c r="B123" s="170"/>
      <c r="C123" s="52" t="s">
        <v>504</v>
      </c>
      <c r="D123" s="57">
        <f>550*2</f>
        <v>1100</v>
      </c>
      <c r="E123" s="62">
        <v>42734</v>
      </c>
      <c r="F123" s="171"/>
      <c r="I123" s="37"/>
      <c r="J123" s="391"/>
      <c r="K123" s="391"/>
      <c r="L123" s="391"/>
      <c r="M123" s="391"/>
      <c r="N123" s="391"/>
      <c r="O123" s="210"/>
      <c r="P123" s="210"/>
      <c r="Q123" s="210"/>
      <c r="R123" s="210"/>
      <c r="S123" s="210"/>
    </row>
    <row r="124" spans="1:19" ht="14.45" customHeight="1">
      <c r="B124" s="170"/>
      <c r="C124" s="52" t="s">
        <v>505</v>
      </c>
      <c r="D124" s="57">
        <v>550</v>
      </c>
      <c r="E124" s="62">
        <v>43073</v>
      </c>
      <c r="F124" s="171"/>
      <c r="I124" s="37"/>
      <c r="J124" s="391"/>
      <c r="K124" s="391"/>
      <c r="L124" s="391"/>
      <c r="M124" s="391"/>
      <c r="N124" s="391"/>
      <c r="O124" s="210"/>
      <c r="P124" s="210"/>
      <c r="Q124" s="210"/>
      <c r="R124" s="210"/>
      <c r="S124" s="210"/>
    </row>
    <row r="125" spans="1:19" ht="14.45" customHeight="1">
      <c r="B125" s="170"/>
      <c r="C125" s="53" t="s">
        <v>182</v>
      </c>
      <c r="D125" s="166">
        <f>SUM(D120:D124)</f>
        <v>95839</v>
      </c>
      <c r="E125" s="62"/>
      <c r="F125" s="171"/>
      <c r="I125" s="37"/>
      <c r="J125" s="391"/>
      <c r="K125" s="391"/>
      <c r="L125" s="391"/>
      <c r="M125" s="391"/>
      <c r="N125" s="391"/>
    </row>
    <row r="126" spans="1:19" ht="14.45" customHeight="1">
      <c r="A126" s="10"/>
      <c r="B126" s="170"/>
      <c r="C126" s="162"/>
      <c r="D126" s="162"/>
      <c r="E126" s="163"/>
      <c r="F126" s="171"/>
      <c r="J126" s="391"/>
      <c r="K126" s="391"/>
      <c r="L126" s="391"/>
      <c r="M126" s="391"/>
      <c r="N126" s="391"/>
    </row>
    <row r="127" spans="1:19">
      <c r="A127" s="10"/>
      <c r="B127" s="170"/>
      <c r="C127" s="517" t="s">
        <v>506</v>
      </c>
      <c r="D127" s="517"/>
      <c r="E127" s="259"/>
      <c r="F127" s="171"/>
      <c r="J127" s="162"/>
      <c r="K127" s="162"/>
      <c r="L127" s="162"/>
      <c r="M127" s="162"/>
    </row>
    <row r="128" spans="1:19">
      <c r="A128" s="10"/>
      <c r="B128" s="170"/>
      <c r="C128" s="440" t="s">
        <v>262</v>
      </c>
      <c r="D128" s="440" t="s">
        <v>499</v>
      </c>
      <c r="E128" s="163"/>
      <c r="F128" s="172"/>
      <c r="J128" s="162"/>
      <c r="K128" s="262"/>
      <c r="L128" s="263"/>
      <c r="M128" s="266"/>
      <c r="N128" s="266"/>
    </row>
    <row r="129" spans="1:14">
      <c r="A129" s="10"/>
      <c r="B129" s="170"/>
      <c r="C129" s="52" t="s">
        <v>507</v>
      </c>
      <c r="D129" s="57">
        <v>44910</v>
      </c>
      <c r="E129" s="258"/>
      <c r="F129" s="172"/>
      <c r="K129" s="264"/>
      <c r="L129" s="264"/>
      <c r="M129" s="266"/>
      <c r="N129" s="266"/>
    </row>
    <row r="130" spans="1:14">
      <c r="A130" s="10"/>
      <c r="B130" s="170"/>
      <c r="C130" s="52" t="s">
        <v>508</v>
      </c>
      <c r="D130" s="182">
        <v>20456</v>
      </c>
      <c r="E130" s="258"/>
      <c r="F130" s="172"/>
      <c r="K130" s="265"/>
      <c r="L130" s="265"/>
      <c r="M130" s="266"/>
      <c r="N130" s="266"/>
    </row>
    <row r="131" spans="1:14">
      <c r="A131" s="10"/>
      <c r="B131" s="170"/>
      <c r="C131" s="55" t="s">
        <v>509</v>
      </c>
      <c r="D131" s="57">
        <v>7425</v>
      </c>
      <c r="E131" s="258"/>
      <c r="F131" s="172"/>
    </row>
    <row r="132" spans="1:14">
      <c r="A132" s="10"/>
      <c r="B132" s="170"/>
      <c r="C132" s="52" t="s">
        <v>510</v>
      </c>
      <c r="D132" s="57">
        <v>12000</v>
      </c>
      <c r="E132" s="258"/>
      <c r="F132" s="172"/>
    </row>
    <row r="133" spans="1:14">
      <c r="A133" s="10"/>
      <c r="B133" s="170"/>
      <c r="C133" s="52" t="s">
        <v>511</v>
      </c>
      <c r="D133" s="57">
        <v>10200</v>
      </c>
      <c r="E133" s="258"/>
      <c r="F133" s="172"/>
    </row>
    <row r="134" spans="1:14" ht="15">
      <c r="A134" s="10"/>
      <c r="B134" s="170"/>
      <c r="C134" s="52" t="s">
        <v>512</v>
      </c>
      <c r="D134" s="57">
        <v>127619</v>
      </c>
      <c r="E134" s="258"/>
      <c r="F134" s="172"/>
      <c r="K134"/>
      <c r="L134"/>
      <c r="M134"/>
    </row>
    <row r="135" spans="1:14" ht="15">
      <c r="A135" s="10"/>
      <c r="B135" s="170"/>
      <c r="C135" s="53" t="s">
        <v>182</v>
      </c>
      <c r="D135" s="166">
        <f>SUM(D129:D134)</f>
        <v>222610</v>
      </c>
      <c r="E135" s="163"/>
      <c r="F135" s="171"/>
      <c r="K135" s="74"/>
      <c r="L135"/>
      <c r="M135"/>
    </row>
    <row r="136" spans="1:14" ht="15">
      <c r="A136" s="10"/>
      <c r="B136" s="170"/>
      <c r="C136" s="162"/>
      <c r="D136" s="162"/>
      <c r="E136" s="163"/>
      <c r="F136" s="171"/>
      <c r="K136"/>
      <c r="L136"/>
      <c r="M136"/>
    </row>
    <row r="137" spans="1:14" ht="15">
      <c r="A137" s="10"/>
      <c r="B137" s="399" t="s">
        <v>513</v>
      </c>
      <c r="C137" s="164" t="s">
        <v>514</v>
      </c>
      <c r="D137" s="164">
        <v>30</v>
      </c>
      <c r="E137" s="259"/>
      <c r="F137" s="171"/>
      <c r="K137"/>
      <c r="L137"/>
      <c r="M137"/>
    </row>
    <row r="138" spans="1:14">
      <c r="A138" s="10"/>
      <c r="B138" s="399" t="s">
        <v>515</v>
      </c>
      <c r="C138" s="164" t="s">
        <v>516</v>
      </c>
      <c r="D138" s="164">
        <v>5</v>
      </c>
      <c r="E138" s="259"/>
      <c r="F138" s="171"/>
      <c r="K138" s="37"/>
    </row>
    <row r="139" spans="1:14">
      <c r="A139" s="10"/>
      <c r="B139" s="170"/>
      <c r="C139" s="162"/>
      <c r="D139" s="162"/>
      <c r="E139" s="163"/>
      <c r="F139" s="171"/>
      <c r="K139" s="64"/>
    </row>
    <row r="140" spans="1:14" ht="25.5">
      <c r="A140" s="10"/>
      <c r="B140" s="170"/>
      <c r="C140" s="400" t="s">
        <v>517</v>
      </c>
      <c r="D140" s="401">
        <f>D135*D141</f>
        <v>37101.666666666664</v>
      </c>
      <c r="E140" s="259"/>
      <c r="F140" s="171"/>
    </row>
    <row r="141" spans="1:14">
      <c r="A141" s="10"/>
      <c r="B141" s="170"/>
      <c r="C141" s="162" t="s">
        <v>518</v>
      </c>
      <c r="D141" s="167">
        <f>D138/D137</f>
        <v>0.16666666666666666</v>
      </c>
      <c r="E141" s="259"/>
      <c r="F141" s="171"/>
    </row>
    <row r="142" spans="1:14" ht="13.5" thickBot="1">
      <c r="A142" s="10"/>
      <c r="B142" s="173"/>
      <c r="C142" s="174"/>
      <c r="D142" s="174"/>
      <c r="E142" s="260"/>
      <c r="F142" s="175"/>
    </row>
    <row r="143" spans="1:14">
      <c r="A143" s="10"/>
      <c r="C143" s="162"/>
      <c r="D143" s="162"/>
      <c r="E143" s="163"/>
      <c r="F143" s="163"/>
      <c r="G143" s="162"/>
    </row>
    <row r="144" spans="1:14">
      <c r="A144" s="10"/>
      <c r="G144" s="162"/>
    </row>
  </sheetData>
  <mergeCells count="10">
    <mergeCell ref="P23:S23"/>
    <mergeCell ref="B105:C107"/>
    <mergeCell ref="B111:C111"/>
    <mergeCell ref="B3:J4"/>
    <mergeCell ref="C6:K15"/>
    <mergeCell ref="K23:N23"/>
    <mergeCell ref="C127:D127"/>
    <mergeCell ref="C118:E118"/>
    <mergeCell ref="B17:I17"/>
    <mergeCell ref="B93:C93"/>
  </mergeCells>
  <phoneticPr fontId="83" type="noConversion"/>
  <pageMargins left="0.75" right="0.75" top="1" bottom="1" header="0.5" footer="0.5"/>
  <pageSetup paperSize="9" scale="99" orientation="landscape" r:id="rId1"/>
  <headerFooter alignWithMargins="0"/>
  <ignoredErrors>
    <ignoredError sqref="G24 E3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ZV62"/>
  <sheetViews>
    <sheetView showGridLines="0" zoomScaleNormal="100" workbookViewId="0"/>
  </sheetViews>
  <sheetFormatPr defaultColWidth="0" defaultRowHeight="12.75" zeroHeight="1"/>
  <cols>
    <col min="1" max="1" width="1.7109375" style="2" customWidth="1"/>
    <col min="2" max="2" width="6.7109375" style="2" customWidth="1"/>
    <col min="3" max="4" width="29.28515625" style="1" customWidth="1"/>
    <col min="5" max="5" width="12.85546875" style="1" customWidth="1"/>
    <col min="6" max="6" width="9.140625" style="1" hidden="1" customWidth="1"/>
    <col min="7" max="7" width="10.5703125" style="1" hidden="1" customWidth="1"/>
    <col min="8" max="9" width="9.140625" style="1" hidden="1" customWidth="1"/>
    <col min="10" max="10" width="10.5703125" style="1" hidden="1" customWidth="1"/>
    <col min="11" max="18" width="9.140625" style="1" hidden="1" customWidth="1"/>
    <col min="19" max="698" width="0" style="1" hidden="1" customWidth="1"/>
    <col min="699" max="16384" width="9.140625" style="1" hidden="1"/>
  </cols>
  <sheetData>
    <row r="1" spans="1:7" s="2" customFormat="1" ht="13.15" customHeight="1"/>
    <row r="2" spans="1:7" s="2" customFormat="1" ht="13.15" customHeight="1"/>
    <row r="3" spans="1:7" s="2" customFormat="1" ht="13.15" customHeight="1">
      <c r="C3" s="466" t="s">
        <v>519</v>
      </c>
      <c r="D3" s="466"/>
      <c r="E3" s="312"/>
      <c r="F3" s="312"/>
      <c r="G3" s="312"/>
    </row>
    <row r="4" spans="1:7" s="2" customFormat="1" ht="13.15" customHeight="1">
      <c r="C4" s="466"/>
      <c r="D4" s="466"/>
      <c r="E4" s="312"/>
      <c r="F4" s="312"/>
      <c r="G4" s="312"/>
    </row>
    <row r="5" spans="1:7" s="2" customFormat="1" ht="13.15" customHeight="1"/>
    <row r="6" spans="1:7" s="2" customFormat="1" ht="13.15" customHeight="1">
      <c r="C6" s="460" t="s">
        <v>520</v>
      </c>
      <c r="D6" s="460"/>
    </row>
    <row r="7" spans="1:7" s="2" customFormat="1" ht="13.15" customHeight="1">
      <c r="C7" s="460"/>
      <c r="D7" s="460"/>
    </row>
    <row r="8" spans="1:7" s="2" customFormat="1" ht="13.15" customHeight="1">
      <c r="C8" s="460"/>
      <c r="D8" s="460"/>
    </row>
    <row r="9" spans="1:7" s="2" customFormat="1" ht="13.15" customHeight="1">
      <c r="C9" s="460"/>
      <c r="D9" s="460"/>
    </row>
    <row r="10" spans="1:7" s="2" customFormat="1" ht="13.15" customHeight="1">
      <c r="C10" s="460"/>
      <c r="D10" s="460"/>
    </row>
    <row r="11" spans="1:7" s="2" customFormat="1" ht="13.15" customHeight="1"/>
    <row r="12" spans="1:7"/>
    <row r="13" spans="1:7" s="7" customFormat="1" ht="15" customHeight="1">
      <c r="A13" s="6"/>
      <c r="B13" s="6"/>
      <c r="C13" s="530" t="s">
        <v>521</v>
      </c>
      <c r="D13" s="530"/>
      <c r="E13" s="2"/>
    </row>
    <row r="14" spans="1:7" s="7" customFormat="1">
      <c r="A14" s="6"/>
      <c r="B14" s="6"/>
      <c r="C14" s="21"/>
      <c r="D14" s="21"/>
      <c r="E14" s="21"/>
    </row>
    <row r="15" spans="1:7" s="7" customFormat="1" ht="15" customHeight="1">
      <c r="A15" s="6"/>
      <c r="B15" s="6"/>
      <c r="C15" s="8" t="s">
        <v>522</v>
      </c>
      <c r="D15" s="133">
        <v>0.02</v>
      </c>
      <c r="G15"/>
    </row>
    <row r="16" spans="1:7" s="7" customFormat="1" ht="15" customHeight="1">
      <c r="A16" s="6"/>
      <c r="B16" s="6"/>
      <c r="C16" s="9"/>
      <c r="D16" s="9"/>
      <c r="G16"/>
    </row>
    <row r="17" spans="1:10" s="7" customFormat="1" ht="15" customHeight="1">
      <c r="A17" s="6"/>
      <c r="B17" s="6"/>
      <c r="C17" s="1"/>
      <c r="D17" s="1"/>
      <c r="G17"/>
    </row>
    <row r="18" spans="1:10" s="7" customFormat="1" ht="15" customHeight="1">
      <c r="A18" s="6"/>
      <c r="B18" s="6"/>
      <c r="C18" s="1"/>
      <c r="D18" s="1"/>
      <c r="G18"/>
    </row>
    <row r="19" spans="1:10" s="7" customFormat="1" ht="13.5" thickBot="1">
      <c r="A19" s="6"/>
      <c r="B19" s="6"/>
      <c r="C19" s="76" t="s">
        <v>523</v>
      </c>
      <c r="D19" s="134">
        <f>D15</f>
        <v>0.02</v>
      </c>
    </row>
    <row r="20" spans="1:10" s="7" customFormat="1" ht="15" customHeight="1" thickTop="1">
      <c r="A20" s="6"/>
      <c r="B20" s="6"/>
      <c r="C20" s="1"/>
      <c r="D20" s="1"/>
      <c r="E20" s="1"/>
      <c r="F20" s="529"/>
      <c r="G20" s="529"/>
    </row>
    <row r="21" spans="1:10" s="7" customFormat="1">
      <c r="A21" s="6"/>
      <c r="B21" s="6"/>
      <c r="C21" s="76" t="s">
        <v>524</v>
      </c>
      <c r="D21" s="76"/>
      <c r="E21" s="1"/>
      <c r="F21" s="69"/>
      <c r="G21" s="70"/>
      <c r="J21" s="70"/>
    </row>
    <row r="22" spans="1:10" s="7" customFormat="1" ht="15" customHeight="1">
      <c r="A22" s="6"/>
      <c r="B22" s="6"/>
      <c r="C22" s="185" t="s">
        <v>525</v>
      </c>
      <c r="D22" s="185"/>
      <c r="E22" s="1"/>
      <c r="F22" s="69"/>
      <c r="G22" s="70"/>
    </row>
    <row r="23" spans="1:10" s="7" customFormat="1">
      <c r="A23" s="6"/>
      <c r="B23" s="6"/>
      <c r="C23" s="1"/>
      <c r="D23" s="1"/>
      <c r="E23" s="1"/>
      <c r="F23" s="69"/>
      <c r="G23" s="70"/>
      <c r="J23" s="73"/>
    </row>
    <row r="24" spans="1:10" s="7" customFormat="1" ht="15" customHeight="1">
      <c r="A24" s="6"/>
      <c r="B24" s="6"/>
      <c r="C24" s="1"/>
      <c r="D24" s="1"/>
      <c r="E24" s="1"/>
      <c r="F24" s="69"/>
      <c r="G24" s="70"/>
      <c r="J24" s="72"/>
    </row>
    <row r="25" spans="1:10" s="7" customFormat="1">
      <c r="A25" s="6"/>
      <c r="B25" s="6"/>
      <c r="C25" s="1"/>
      <c r="D25" s="1"/>
      <c r="E25" s="1"/>
      <c r="F25" s="69"/>
      <c r="G25" s="70"/>
    </row>
    <row r="26" spans="1:10" s="7" customFormat="1" ht="15" customHeight="1">
      <c r="A26" s="6"/>
      <c r="B26" s="6"/>
      <c r="C26" s="1"/>
      <c r="D26" s="1"/>
      <c r="E26" s="1"/>
      <c r="F26" s="69"/>
      <c r="G26" s="70"/>
    </row>
    <row r="27" spans="1:10" s="7" customFormat="1" ht="15" customHeight="1">
      <c r="A27" s="6"/>
      <c r="B27" s="6"/>
      <c r="C27" s="1"/>
      <c r="D27" s="1"/>
      <c r="E27" s="1"/>
      <c r="F27" s="69"/>
      <c r="G27" s="70"/>
    </row>
    <row r="28" spans="1:10" s="7" customFormat="1">
      <c r="A28" s="6"/>
      <c r="B28" s="6"/>
      <c r="C28" s="1"/>
      <c r="D28" s="1"/>
      <c r="E28" s="1"/>
      <c r="F28" s="69"/>
      <c r="G28" s="70"/>
    </row>
    <row r="29" spans="1:10" s="7" customFormat="1" ht="15" customHeight="1">
      <c r="A29" s="6"/>
      <c r="B29" s="6"/>
      <c r="C29" s="1"/>
      <c r="D29" s="1"/>
      <c r="E29" s="1"/>
      <c r="F29" s="69"/>
      <c r="G29" s="70"/>
    </row>
    <row r="30" spans="1:10" s="7" customFormat="1" ht="15" customHeight="1">
      <c r="A30" s="6"/>
      <c r="B30" s="6"/>
      <c r="C30" s="1"/>
      <c r="D30" s="1"/>
      <c r="E30" s="1"/>
      <c r="F30" s="69"/>
      <c r="G30" s="70"/>
    </row>
    <row r="31" spans="1:10" s="7" customFormat="1">
      <c r="A31" s="6"/>
      <c r="B31" s="6"/>
      <c r="C31" s="1"/>
      <c r="D31" s="1"/>
      <c r="E31" s="1"/>
      <c r="F31" s="69"/>
      <c r="G31" s="70"/>
    </row>
    <row r="32" spans="1:10" s="7" customFormat="1" ht="15" customHeight="1">
      <c r="A32" s="6"/>
      <c r="B32" s="6"/>
      <c r="C32" s="1"/>
      <c r="D32" s="1"/>
      <c r="E32" s="1"/>
      <c r="F32" s="69"/>
      <c r="G32" s="70"/>
    </row>
    <row r="33" spans="1:7" s="7" customFormat="1">
      <c r="A33" s="6"/>
      <c r="B33" s="6"/>
      <c r="C33" s="1"/>
      <c r="D33" s="1"/>
      <c r="E33" s="1"/>
      <c r="F33" s="69"/>
    </row>
    <row r="34" spans="1:7" s="7" customFormat="1" ht="15" customHeight="1">
      <c r="A34" s="6"/>
      <c r="B34" s="6"/>
      <c r="C34" s="1"/>
      <c r="D34" s="1"/>
      <c r="E34" s="1"/>
      <c r="G34"/>
    </row>
    <row r="35" spans="1:7" s="7" customFormat="1">
      <c r="A35" s="6"/>
      <c r="B35" s="6"/>
      <c r="C35" s="1"/>
      <c r="D35" s="1"/>
      <c r="E35" s="1"/>
    </row>
    <row r="36" spans="1:7" s="7" customFormat="1" ht="15" customHeight="1">
      <c r="A36" s="6"/>
      <c r="B36" s="6"/>
      <c r="C36" s="1"/>
      <c r="D36" s="1"/>
      <c r="E36" s="1"/>
      <c r="G36"/>
    </row>
    <row r="37" spans="1:7" s="7" customFormat="1">
      <c r="A37" s="6"/>
      <c r="B37" s="6"/>
      <c r="C37" s="1"/>
      <c r="D37" s="1"/>
      <c r="E37" s="1"/>
    </row>
    <row r="38" spans="1:7" s="7" customFormat="1" ht="15" customHeight="1">
      <c r="A38" s="6"/>
      <c r="B38" s="6"/>
      <c r="C38" s="1"/>
      <c r="D38" s="1"/>
      <c r="E38" s="1"/>
      <c r="G38"/>
    </row>
    <row r="39" spans="1:7" s="7" customFormat="1">
      <c r="A39" s="6"/>
      <c r="B39" s="6"/>
      <c r="C39" s="1"/>
      <c r="D39" s="1"/>
      <c r="E39" s="1"/>
    </row>
    <row r="40" spans="1:7" s="7" customFormat="1" ht="15" customHeight="1">
      <c r="A40" s="6"/>
      <c r="B40" s="6"/>
      <c r="C40" s="1"/>
      <c r="D40" s="1"/>
      <c r="E40" s="1"/>
      <c r="G40"/>
    </row>
    <row r="41" spans="1:7" s="7" customFormat="1">
      <c r="A41" s="6"/>
      <c r="B41" s="6"/>
      <c r="C41" s="1"/>
      <c r="D41" s="1"/>
      <c r="E41" s="1"/>
    </row>
    <row r="42" spans="1:7" s="7" customFormat="1" ht="15" customHeight="1">
      <c r="A42" s="6"/>
      <c r="B42" s="6"/>
      <c r="C42" s="1"/>
      <c r="D42" s="1"/>
      <c r="E42" s="1"/>
      <c r="G42"/>
    </row>
    <row r="43" spans="1:7" s="7" customFormat="1">
      <c r="A43" s="6"/>
      <c r="B43" s="6"/>
      <c r="C43" s="1"/>
      <c r="D43" s="1"/>
      <c r="E43" s="1"/>
    </row>
    <row r="44" spans="1:7" s="7" customFormat="1" ht="15">
      <c r="A44" s="6"/>
      <c r="B44" s="6"/>
      <c r="C44" s="1"/>
      <c r="D44" s="1"/>
      <c r="E44" s="1"/>
      <c r="G44"/>
    </row>
    <row r="45" spans="1:7" s="7" customFormat="1">
      <c r="A45" s="6"/>
      <c r="B45" s="6"/>
      <c r="C45" s="1"/>
      <c r="D45" s="1"/>
      <c r="E45" s="1"/>
    </row>
    <row r="46" spans="1:7" s="7" customFormat="1" ht="15" customHeight="1">
      <c r="A46" s="6"/>
      <c r="B46" s="6"/>
      <c r="C46" s="1"/>
      <c r="D46" s="1"/>
      <c r="E46" s="1"/>
      <c r="G46"/>
    </row>
    <row r="47" spans="1:7"/>
    <row r="48" spans="1:7"/>
    <row r="49"/>
    <row r="50"/>
    <row r="51"/>
    <row r="52"/>
    <row r="53"/>
    <row r="54"/>
    <row r="55"/>
    <row r="56"/>
    <row r="57"/>
    <row r="58"/>
    <row r="59"/>
    <row r="60"/>
    <row r="61"/>
    <row r="62"/>
  </sheetData>
  <mergeCells count="4">
    <mergeCell ref="F20:G20"/>
    <mergeCell ref="C13:D13"/>
    <mergeCell ref="C3:D4"/>
    <mergeCell ref="C6:D10"/>
  </mergeCells>
  <hyperlinks>
    <hyperlink ref="C22" r:id="rId1" xr:uid="{D3423E79-1BF1-4003-856D-42154D59C3FB}"/>
  </hyperlinks>
  <pageMargins left="0.75" right="0.75" top="1" bottom="1" header="0.5" footer="0.5"/>
  <pageSetup paperSize="9" orientation="portrait"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C2089-3087-435B-BE30-91FE749062E4}">
  <dimension ref="A3:P111"/>
  <sheetViews>
    <sheetView workbookViewId="0">
      <selection activeCell="E85" sqref="E85"/>
    </sheetView>
  </sheetViews>
  <sheetFormatPr defaultColWidth="0" defaultRowHeight="15"/>
  <cols>
    <col min="1" max="1" width="8.85546875" style="65" customWidth="1"/>
    <col min="2" max="2" width="14.5703125" style="65" customWidth="1"/>
    <col min="3" max="3" width="14" style="65" bestFit="1" customWidth="1"/>
    <col min="4" max="4" width="12.7109375" style="65" customWidth="1"/>
    <col min="5" max="5" width="14.85546875" style="65" customWidth="1"/>
    <col min="6" max="6" width="14" style="65" customWidth="1"/>
    <col min="7" max="7" width="19.42578125" style="65" customWidth="1"/>
    <col min="8" max="8" width="17.7109375" style="65" customWidth="1"/>
    <col min="9" max="9" width="16.85546875" style="65" customWidth="1"/>
    <col min="10" max="10" width="11.5703125" style="65" customWidth="1"/>
    <col min="11" max="11" width="8.85546875" style="65" customWidth="1"/>
    <col min="12" max="12" width="11" style="65" bestFit="1" customWidth="1"/>
    <col min="13" max="14" width="8.85546875" style="65" customWidth="1"/>
    <col min="15" max="15" width="8.85546875" style="65" hidden="1" customWidth="1"/>
    <col min="16" max="16" width="11" style="65" hidden="1" customWidth="1"/>
    <col min="17" max="16384" width="8.85546875" style="65" hidden="1"/>
  </cols>
  <sheetData>
    <row r="3" spans="2:8" ht="14.45" customHeight="1">
      <c r="B3" s="479" t="s">
        <v>526</v>
      </c>
      <c r="C3" s="479"/>
      <c r="D3" s="479"/>
      <c r="E3" s="479"/>
      <c r="F3" s="479"/>
      <c r="G3" s="479"/>
      <c r="H3" s="479"/>
    </row>
    <row r="4" spans="2:8" ht="14.45" customHeight="1">
      <c r="B4" s="479"/>
      <c r="C4" s="479"/>
      <c r="D4" s="479"/>
      <c r="E4" s="479"/>
      <c r="F4" s="479"/>
      <c r="G4" s="479"/>
      <c r="H4" s="479"/>
    </row>
    <row r="5" spans="2:8">
      <c r="B5" s="479"/>
      <c r="C5" s="479"/>
      <c r="D5" s="479"/>
      <c r="E5" s="479"/>
      <c r="F5" s="479"/>
      <c r="G5" s="479"/>
      <c r="H5" s="479"/>
    </row>
    <row r="6" spans="2:8">
      <c r="B6" s="479"/>
      <c r="C6" s="479"/>
      <c r="D6" s="479"/>
      <c r="E6" s="479"/>
      <c r="F6" s="479"/>
      <c r="G6" s="479"/>
      <c r="H6" s="479"/>
    </row>
    <row r="7" spans="2:8" ht="16.149999999999999" customHeight="1"/>
    <row r="8" spans="2:8" ht="15" customHeight="1"/>
    <row r="9" spans="2:8" ht="15" customHeight="1">
      <c r="B9" s="404" t="s">
        <v>527</v>
      </c>
      <c r="C9" s="403"/>
      <c r="D9" s="403"/>
      <c r="E9" s="403"/>
      <c r="F9" s="403"/>
      <c r="G9" s="403"/>
      <c r="H9" s="403"/>
    </row>
    <row r="10" spans="2:8" ht="22.9" customHeight="1">
      <c r="B10" s="531" t="s">
        <v>528</v>
      </c>
      <c r="C10" s="531"/>
      <c r="D10" s="531"/>
      <c r="E10" s="531"/>
      <c r="F10" s="531"/>
      <c r="G10" s="531"/>
      <c r="H10" s="531"/>
    </row>
    <row r="11" spans="2:8" ht="22.9" customHeight="1">
      <c r="B11" s="531"/>
      <c r="C11" s="531"/>
      <c r="D11" s="531"/>
      <c r="E11" s="531"/>
      <c r="F11" s="531"/>
      <c r="G11" s="531"/>
      <c r="H11" s="531"/>
    </row>
    <row r="12" spans="2:8" ht="22.9" customHeight="1">
      <c r="B12" s="531"/>
      <c r="C12" s="531"/>
      <c r="D12" s="531"/>
      <c r="E12" s="531"/>
      <c r="F12" s="531"/>
      <c r="G12" s="531"/>
      <c r="H12" s="531"/>
    </row>
    <row r="13" spans="2:8" ht="22.9" customHeight="1">
      <c r="B13" s="531"/>
      <c r="C13" s="531"/>
      <c r="D13" s="531"/>
      <c r="E13" s="531"/>
      <c r="F13" s="531"/>
      <c r="G13" s="531"/>
      <c r="H13" s="531"/>
    </row>
    <row r="14" spans="2:8" ht="22.9" customHeight="1">
      <c r="B14" s="531"/>
      <c r="C14" s="531"/>
      <c r="D14" s="531"/>
      <c r="E14" s="531"/>
      <c r="F14" s="531"/>
      <c r="G14" s="531"/>
      <c r="H14" s="531"/>
    </row>
    <row r="15" spans="2:8" ht="15" customHeight="1">
      <c r="B15" s="531"/>
      <c r="C15" s="531"/>
      <c r="D15" s="531"/>
      <c r="E15" s="531"/>
      <c r="F15" s="531"/>
      <c r="G15" s="531"/>
      <c r="H15" s="531"/>
    </row>
    <row r="16" spans="2:8" ht="15" customHeight="1">
      <c r="B16" s="531"/>
      <c r="C16" s="531"/>
      <c r="D16" s="531"/>
      <c r="E16" s="531"/>
      <c r="F16" s="531"/>
      <c r="G16" s="531"/>
      <c r="H16" s="531"/>
    </row>
    <row r="17" spans="2:13">
      <c r="J17" s="488" t="s">
        <v>255</v>
      </c>
      <c r="K17" s="489"/>
      <c r="L17" s="489"/>
      <c r="M17" s="489"/>
    </row>
    <row r="18" spans="2:13" ht="30">
      <c r="B18" s="534" t="s">
        <v>529</v>
      </c>
      <c r="C18" s="535"/>
      <c r="D18" s="439" t="s">
        <v>530</v>
      </c>
      <c r="E18" s="437" t="s">
        <v>362</v>
      </c>
      <c r="F18" s="437" t="s">
        <v>531</v>
      </c>
      <c r="G18" s="437" t="s">
        <v>532</v>
      </c>
      <c r="H18" s="437" t="s">
        <v>533</v>
      </c>
      <c r="J18" s="228" t="s">
        <v>278</v>
      </c>
      <c r="K18" s="229">
        <v>5044.46</v>
      </c>
      <c r="L18" s="228" t="s">
        <v>274</v>
      </c>
      <c r="M18" s="229">
        <v>5229.93</v>
      </c>
    </row>
    <row r="19" spans="2:13">
      <c r="B19" s="536" t="s">
        <v>534</v>
      </c>
      <c r="C19" s="537"/>
      <c r="D19" s="46">
        <v>108845.1</v>
      </c>
      <c r="E19" s="291">
        <f t="shared" ref="E19:E28" si="0">$M$30/$K$18</f>
        <v>1.0620482668115121</v>
      </c>
      <c r="F19" s="46">
        <f>D19*E19</f>
        <v>115598.74980592572</v>
      </c>
      <c r="G19" s="46" t="s">
        <v>535</v>
      </c>
      <c r="H19" s="46">
        <f>(F19/132)*31.985</f>
        <v>28010.803125322225</v>
      </c>
      <c r="I19" s="411"/>
      <c r="J19" s="228" t="s">
        <v>280</v>
      </c>
      <c r="K19" s="229">
        <v>5061.1099999999997</v>
      </c>
      <c r="L19" s="228" t="s">
        <v>12</v>
      </c>
      <c r="M19" s="229">
        <v>5227.84</v>
      </c>
    </row>
    <row r="20" spans="2:13">
      <c r="B20" s="536" t="s">
        <v>536</v>
      </c>
      <c r="C20" s="537"/>
      <c r="D20" s="46">
        <v>1980</v>
      </c>
      <c r="E20" s="291">
        <f t="shared" si="0"/>
        <v>1.0620482668115121</v>
      </c>
      <c r="F20" s="46">
        <f t="shared" ref="F20:F28" si="1">D20*E20</f>
        <v>2102.8555682867941</v>
      </c>
      <c r="G20" s="46" t="s">
        <v>537</v>
      </c>
      <c r="H20" s="46">
        <f>F20</f>
        <v>2102.8555682867941</v>
      </c>
      <c r="I20" s="410"/>
      <c r="J20" s="228" t="s">
        <v>282</v>
      </c>
      <c r="K20" s="229">
        <v>5056.5600000000004</v>
      </c>
      <c r="L20" s="228" t="s">
        <v>14</v>
      </c>
      <c r="M20" s="229">
        <v>5233.07</v>
      </c>
    </row>
    <row r="21" spans="2:13">
      <c r="B21" s="536" t="s">
        <v>538</v>
      </c>
      <c r="C21" s="537"/>
      <c r="D21" s="46">
        <v>9000</v>
      </c>
      <c r="E21" s="291">
        <f t="shared" si="0"/>
        <v>1.0620482668115121</v>
      </c>
      <c r="F21" s="46">
        <f t="shared" si="1"/>
        <v>9558.4344013036098</v>
      </c>
      <c r="G21" s="46" t="s">
        <v>537</v>
      </c>
      <c r="H21" s="46">
        <f>F21</f>
        <v>9558.4344013036098</v>
      </c>
      <c r="J21" s="228" t="s">
        <v>284</v>
      </c>
      <c r="K21" s="229">
        <v>5080.83</v>
      </c>
      <c r="L21" s="228" t="s">
        <v>16</v>
      </c>
      <c r="M21" s="229">
        <v>5259.76</v>
      </c>
    </row>
    <row r="22" spans="2:13">
      <c r="B22" s="536" t="s">
        <v>539</v>
      </c>
      <c r="C22" s="537"/>
      <c r="D22" s="46">
        <v>301568</v>
      </c>
      <c r="E22" s="291">
        <f t="shared" si="0"/>
        <v>1.0620482668115121</v>
      </c>
      <c r="F22" s="46">
        <f t="shared" si="1"/>
        <v>320279.77172581409</v>
      </c>
      <c r="G22" s="46" t="s">
        <v>540</v>
      </c>
      <c r="H22" s="46">
        <f>(F22/132)*78.5124</f>
        <v>190499.4965882258</v>
      </c>
      <c r="J22" s="228" t="s">
        <v>286</v>
      </c>
      <c r="K22" s="229">
        <v>5103.6899999999996</v>
      </c>
      <c r="L22" s="228" t="s">
        <v>18</v>
      </c>
      <c r="M22" s="229">
        <v>5320.25</v>
      </c>
    </row>
    <row r="23" spans="2:13">
      <c r="B23" s="536" t="s">
        <v>541</v>
      </c>
      <c r="C23" s="537"/>
      <c r="D23" s="46">
        <v>188004.71</v>
      </c>
      <c r="E23" s="291">
        <f t="shared" si="0"/>
        <v>1.0620482668115121</v>
      </c>
      <c r="F23" s="46">
        <f t="shared" si="1"/>
        <v>199670.07640790095</v>
      </c>
      <c r="G23" s="46" t="s">
        <v>540</v>
      </c>
      <c r="H23" s="46">
        <f>(F23/132)*78.5124</f>
        <v>118761.94626490668</v>
      </c>
      <c r="J23" s="228" t="s">
        <v>287</v>
      </c>
      <c r="K23" s="229">
        <v>5092.97</v>
      </c>
      <c r="L23" s="228" t="s">
        <v>20</v>
      </c>
      <c r="M23" s="229">
        <v>5331.42</v>
      </c>
    </row>
    <row r="24" spans="2:13">
      <c r="B24" s="536" t="s">
        <v>542</v>
      </c>
      <c r="C24" s="537"/>
      <c r="D24" s="46">
        <v>90220.5</v>
      </c>
      <c r="E24" s="291">
        <f t="shared" si="0"/>
        <v>1.0620482668115121</v>
      </c>
      <c r="F24" s="46">
        <f t="shared" si="1"/>
        <v>95818.525655868027</v>
      </c>
      <c r="G24" s="46" t="s">
        <v>535</v>
      </c>
      <c r="H24" s="46">
        <f t="shared" ref="H24:H25" si="2">(F24/132)*31.985</f>
        <v>23217.84502350711</v>
      </c>
      <c r="J24" s="228" t="s">
        <v>289</v>
      </c>
      <c r="K24" s="229">
        <v>5100.6099999999997</v>
      </c>
      <c r="L24" s="228" t="s">
        <v>22</v>
      </c>
      <c r="M24" s="229">
        <v>5344.75</v>
      </c>
    </row>
    <row r="25" spans="2:13">
      <c r="B25" s="536" t="s">
        <v>543</v>
      </c>
      <c r="C25" s="537"/>
      <c r="D25" s="46">
        <v>29910</v>
      </c>
      <c r="E25" s="291">
        <f t="shared" si="0"/>
        <v>1.0620482668115121</v>
      </c>
      <c r="F25" s="46">
        <f t="shared" si="1"/>
        <v>31765.863660332328</v>
      </c>
      <c r="G25" s="46" t="s">
        <v>535</v>
      </c>
      <c r="H25" s="46">
        <f t="shared" si="2"/>
        <v>7697.2056755737085</v>
      </c>
      <c r="J25" s="228" t="s">
        <v>290</v>
      </c>
      <c r="K25" s="229">
        <v>5116.93</v>
      </c>
      <c r="L25" s="228" t="s">
        <v>13</v>
      </c>
      <c r="M25" s="229">
        <v>5348.49</v>
      </c>
    </row>
    <row r="26" spans="2:13">
      <c r="B26" s="536" t="s">
        <v>544</v>
      </c>
      <c r="C26" s="537"/>
      <c r="D26" s="46">
        <v>2654.27</v>
      </c>
      <c r="E26" s="291">
        <f t="shared" si="0"/>
        <v>1.0620482668115121</v>
      </c>
      <c r="F26" s="46">
        <f t="shared" si="1"/>
        <v>2818.9628531497924</v>
      </c>
      <c r="G26" s="46" t="s">
        <v>540</v>
      </c>
      <c r="H26" s="46">
        <f>(F26/132)*78.5124</f>
        <v>1676.6934781184677</v>
      </c>
      <c r="J26" s="228" t="s">
        <v>292</v>
      </c>
      <c r="K26" s="229">
        <v>5138.93</v>
      </c>
      <c r="L26" s="228" t="s">
        <v>15</v>
      </c>
      <c r="M26" s="229">
        <v>5331.91</v>
      </c>
    </row>
    <row r="27" spans="2:13">
      <c r="B27" s="536" t="s">
        <v>545</v>
      </c>
      <c r="C27" s="537"/>
      <c r="D27" s="46">
        <v>16184.94</v>
      </c>
      <c r="E27" s="291">
        <f t="shared" si="0"/>
        <v>1.0620482668115121</v>
      </c>
      <c r="F27" s="46">
        <f t="shared" si="1"/>
        <v>17189.187475448314</v>
      </c>
      <c r="G27" s="46" t="s">
        <v>537</v>
      </c>
      <c r="H27" s="46">
        <f>F27</f>
        <v>17189.187475448314</v>
      </c>
      <c r="J27" s="228" t="s">
        <v>294</v>
      </c>
      <c r="K27" s="229">
        <v>5177.47</v>
      </c>
      <c r="L27" s="228" t="s">
        <v>17</v>
      </c>
      <c r="M27" s="229">
        <v>5311.65</v>
      </c>
    </row>
    <row r="28" spans="2:13">
      <c r="B28" s="536" t="s">
        <v>546</v>
      </c>
      <c r="C28" s="537"/>
      <c r="D28" s="46">
        <v>44565.760000000002</v>
      </c>
      <c r="E28" s="291">
        <f t="shared" si="0"/>
        <v>1.0620482668115121</v>
      </c>
      <c r="F28" s="46">
        <f t="shared" si="1"/>
        <v>47330.988167137817</v>
      </c>
      <c r="G28" s="46" t="s">
        <v>537</v>
      </c>
      <c r="H28" s="46">
        <f>F28</f>
        <v>47330.988167137817</v>
      </c>
      <c r="J28" s="228" t="s">
        <v>261</v>
      </c>
      <c r="K28" s="229">
        <v>5206.9799999999996</v>
      </c>
      <c r="L28" s="228" t="s">
        <v>19</v>
      </c>
      <c r="M28" s="229">
        <v>5325.46</v>
      </c>
    </row>
    <row r="29" spans="2:13">
      <c r="B29" s="538" t="s">
        <v>547</v>
      </c>
      <c r="C29" s="539"/>
      <c r="D29" s="46"/>
      <c r="E29" s="291"/>
      <c r="F29" s="46">
        <f>76077.72*12</f>
        <v>912932.64</v>
      </c>
      <c r="G29" s="44" t="s">
        <v>537</v>
      </c>
      <c r="H29" s="46">
        <f>76077.72*12</f>
        <v>912932.64</v>
      </c>
      <c r="J29" s="228" t="s">
        <v>265</v>
      </c>
      <c r="K29" s="229">
        <v>5213.75</v>
      </c>
      <c r="L29" s="228" t="s">
        <v>21</v>
      </c>
      <c r="M29" s="229">
        <v>5344.63</v>
      </c>
    </row>
    <row r="30" spans="2:13">
      <c r="B30" s="532" t="s">
        <v>548</v>
      </c>
      <c r="C30" s="533"/>
      <c r="D30" s="293">
        <f>SUM(D19:D28)</f>
        <v>792933.27999999991</v>
      </c>
      <c r="E30" s="294"/>
      <c r="F30" s="293">
        <f>SUM(F19:F29)</f>
        <v>1755066.0557211675</v>
      </c>
      <c r="G30" s="295"/>
      <c r="H30" s="293">
        <f>SUM(H19:H29)</f>
        <v>1358978.0957678305</v>
      </c>
      <c r="J30" s="228" t="s">
        <v>268</v>
      </c>
      <c r="K30" s="229">
        <v>5214.2700000000004</v>
      </c>
      <c r="L30" s="228" t="s">
        <v>23</v>
      </c>
      <c r="M30" s="229">
        <v>5357.46</v>
      </c>
    </row>
    <row r="31" spans="2:13">
      <c r="B31" s="405" t="s">
        <v>549</v>
      </c>
      <c r="J31" s="406" t="s">
        <v>271</v>
      </c>
      <c r="K31" s="407">
        <v>5224.18</v>
      </c>
    </row>
    <row r="32" spans="2:13">
      <c r="B32" s="405"/>
      <c r="J32" s="408"/>
      <c r="K32" s="409"/>
    </row>
    <row r="33" spans="2:12">
      <c r="B33" s="405" t="s">
        <v>594</v>
      </c>
      <c r="J33" s="408"/>
      <c r="K33" s="409"/>
    </row>
    <row r="34" spans="2:12" ht="25.9" customHeight="1">
      <c r="B34" s="405" t="s">
        <v>550</v>
      </c>
      <c r="I34"/>
      <c r="J34" s="408"/>
      <c r="K34"/>
    </row>
    <row r="35" spans="2:12">
      <c r="B35" s="405"/>
      <c r="J35" s="408"/>
      <c r="K35" s="409"/>
    </row>
    <row r="36" spans="2:12" ht="19.149999999999999" customHeight="1">
      <c r="B36" s="405" t="s">
        <v>551</v>
      </c>
      <c r="H36"/>
      <c r="J36" s="408"/>
      <c r="K36" s="409"/>
    </row>
    <row r="37" spans="2:12">
      <c r="B37" s="405" t="s">
        <v>552</v>
      </c>
      <c r="J37" s="408"/>
      <c r="K37" s="409"/>
    </row>
    <row r="38" spans="2:12">
      <c r="B38" s="405" t="s">
        <v>553</v>
      </c>
      <c r="J38" s="408"/>
      <c r="K38" s="409"/>
    </row>
    <row r="39" spans="2:12" ht="15.75">
      <c r="B39" s="405" t="s">
        <v>554</v>
      </c>
      <c r="I39" s="418"/>
      <c r="J39" s="418"/>
      <c r="K39" s="418"/>
      <c r="L39" s="418"/>
    </row>
    <row r="40" spans="2:12">
      <c r="B40" s="405" t="s">
        <v>555</v>
      </c>
      <c r="I40" s="207"/>
      <c r="J40" s="207"/>
      <c r="K40" s="207"/>
      <c r="L40" s="207"/>
    </row>
    <row r="41" spans="2:12" ht="34.9" customHeight="1">
      <c r="B41" s="405" t="s">
        <v>556</v>
      </c>
      <c r="I41" s="412"/>
      <c r="J41" s="207"/>
      <c r="K41" s="207"/>
      <c r="L41" s="413"/>
    </row>
    <row r="42" spans="2:12" ht="34.9" customHeight="1">
      <c r="B42" s="405" t="s">
        <v>557</v>
      </c>
      <c r="I42" s="412"/>
      <c r="J42" s="207"/>
      <c r="K42" s="207"/>
      <c r="L42" s="414"/>
    </row>
    <row r="43" spans="2:12">
      <c r="B43" s="405"/>
      <c r="I43" s="415"/>
      <c r="J43" s="207"/>
      <c r="K43" s="207"/>
      <c r="L43" s="416"/>
    </row>
    <row r="44" spans="2:12">
      <c r="B44" s="405"/>
      <c r="I44" s="415"/>
      <c r="J44" s="207"/>
      <c r="K44" s="207"/>
      <c r="L44" s="416"/>
    </row>
    <row r="45" spans="2:12">
      <c r="B45" s="405"/>
      <c r="I45" s="415"/>
      <c r="J45" s="207"/>
      <c r="K45" s="207"/>
      <c r="L45" s="416"/>
    </row>
    <row r="46" spans="2:12" ht="33.6" customHeight="1">
      <c r="B46" s="461" t="s">
        <v>558</v>
      </c>
      <c r="C46" s="461"/>
      <c r="D46" s="461"/>
      <c r="E46" s="461"/>
      <c r="I46" s="415"/>
      <c r="J46" s="207"/>
      <c r="K46" s="207"/>
      <c r="L46" s="416"/>
    </row>
    <row r="47" spans="2:12" ht="7.15" customHeight="1">
      <c r="B47" s="405"/>
      <c r="I47" s="415"/>
      <c r="J47" s="207"/>
      <c r="K47" s="207"/>
      <c r="L47" s="416"/>
    </row>
    <row r="48" spans="2:12">
      <c r="B48" s="540" t="s">
        <v>559</v>
      </c>
      <c r="C48" s="540"/>
      <c r="D48" s="540"/>
      <c r="E48" s="176">
        <f>H30</f>
        <v>1358978.0957678305</v>
      </c>
      <c r="H48"/>
      <c r="I48" s="415"/>
      <c r="J48" s="207"/>
      <c r="K48" s="207"/>
      <c r="L48" s="416"/>
    </row>
    <row r="49" spans="2:12">
      <c r="B49" s="541" t="s">
        <v>560</v>
      </c>
      <c r="C49" s="541"/>
      <c r="D49" s="541"/>
      <c r="E49" s="176">
        <f>E48*20</f>
        <v>27179561.91535661</v>
      </c>
      <c r="I49" s="415"/>
      <c r="J49" s="207"/>
      <c r="K49" s="207"/>
      <c r="L49" s="416"/>
    </row>
    <row r="50" spans="2:12">
      <c r="B50" s="540" t="s">
        <v>561</v>
      </c>
      <c r="C50" s="540"/>
      <c r="D50" s="540"/>
      <c r="E50" s="270">
        <v>8212000</v>
      </c>
      <c r="I50" s="415"/>
      <c r="J50" s="207"/>
      <c r="K50" s="207"/>
      <c r="L50" s="416"/>
    </row>
    <row r="51" spans="2:12" ht="7.15" customHeight="1">
      <c r="B51" s="405"/>
      <c r="I51" s="415"/>
      <c r="J51" s="207"/>
      <c r="K51" s="207"/>
      <c r="L51" s="416"/>
    </row>
    <row r="52" spans="2:12">
      <c r="B52" s="462" t="s">
        <v>90</v>
      </c>
      <c r="C52" s="462"/>
      <c r="D52" s="462"/>
      <c r="E52" s="212">
        <f>E49/E50</f>
        <v>3.3097372035261339</v>
      </c>
      <c r="I52" s="415"/>
      <c r="J52" s="207"/>
      <c r="K52" s="207"/>
      <c r="L52" s="416"/>
    </row>
    <row r="53" spans="2:12">
      <c r="B53" s="405"/>
      <c r="I53" s="415"/>
      <c r="J53" s="207"/>
      <c r="K53" s="207"/>
      <c r="L53" s="416"/>
    </row>
    <row r="54" spans="2:12">
      <c r="B54" s="405" t="s">
        <v>562</v>
      </c>
      <c r="I54" s="412"/>
      <c r="J54" s="207"/>
      <c r="K54" s="207"/>
      <c r="L54" s="417"/>
    </row>
    <row r="55" spans="2:12" ht="22.15" customHeight="1">
      <c r="B55" s="176" t="s">
        <v>563</v>
      </c>
      <c r="F55" s="270"/>
      <c r="I55" s="207"/>
      <c r="J55" s="207"/>
      <c r="K55" s="207"/>
      <c r="L55" s="207"/>
    </row>
    <row r="56" spans="2:12">
      <c r="B56" s="176" t="s">
        <v>564</v>
      </c>
      <c r="E56" s="411"/>
      <c r="F56" s="271"/>
      <c r="G56" s="210"/>
      <c r="H56"/>
      <c r="I56" s="213"/>
      <c r="J56" s="213"/>
      <c r="K56" s="213"/>
      <c r="L56" s="214"/>
    </row>
    <row r="57" spans="2:12" ht="22.9" customHeight="1">
      <c r="B57" s="176" t="s">
        <v>92</v>
      </c>
      <c r="E57" s="411"/>
      <c r="F57" s="271"/>
      <c r="G57" s="210"/>
      <c r="I57" s="213"/>
      <c r="J57" s="213"/>
      <c r="K57" s="213"/>
      <c r="L57" s="214"/>
    </row>
    <row r="58" spans="2:12">
      <c r="B58" s="176"/>
      <c r="E58" s="411"/>
      <c r="F58" s="271"/>
      <c r="G58" s="210"/>
      <c r="I58" s="213"/>
      <c r="J58" s="213"/>
      <c r="K58" s="213"/>
      <c r="L58" s="214"/>
    </row>
    <row r="59" spans="2:12">
      <c r="B59" s="176"/>
      <c r="E59" s="411"/>
      <c r="F59" s="271"/>
      <c r="G59" s="210"/>
      <c r="I59" s="213"/>
      <c r="J59" s="213"/>
      <c r="K59" s="213"/>
      <c r="L59" s="214"/>
    </row>
    <row r="60" spans="2:12">
      <c r="B60" s="122"/>
      <c r="C60" s="210"/>
      <c r="E60" s="410"/>
      <c r="F60" s="271"/>
      <c r="G60" s="210"/>
    </row>
    <row r="61" spans="2:12" ht="17.25">
      <c r="B61" s="404" t="s">
        <v>565</v>
      </c>
      <c r="C61"/>
    </row>
    <row r="63" spans="2:12" ht="14.45" customHeight="1">
      <c r="B63" s="542" t="s">
        <v>566</v>
      </c>
      <c r="C63" s="542"/>
      <c r="D63" s="542"/>
      <c r="E63" s="542"/>
      <c r="F63" s="542"/>
      <c r="G63" s="542"/>
      <c r="H63" s="542"/>
      <c r="I63" s="419"/>
    </row>
    <row r="64" spans="2:12">
      <c r="B64" s="542"/>
      <c r="C64" s="542"/>
      <c r="D64" s="542"/>
      <c r="E64" s="542"/>
      <c r="F64" s="542"/>
      <c r="G64" s="542"/>
      <c r="H64" s="542"/>
      <c r="I64" s="419"/>
    </row>
    <row r="65" spans="2:10">
      <c r="B65" s="542"/>
      <c r="C65" s="542"/>
      <c r="D65" s="542"/>
      <c r="E65" s="542"/>
      <c r="F65" s="542"/>
      <c r="G65" s="542"/>
      <c r="H65" s="542"/>
      <c r="I65" s="419"/>
    </row>
    <row r="66" spans="2:10">
      <c r="B66" s="542"/>
      <c r="C66" s="542"/>
      <c r="D66" s="542"/>
      <c r="E66" s="542"/>
      <c r="F66" s="542"/>
      <c r="G66" s="542"/>
      <c r="H66" s="542"/>
      <c r="I66" s="419"/>
    </row>
    <row r="67" spans="2:10">
      <c r="B67" s="542"/>
      <c r="C67" s="542"/>
      <c r="D67" s="542"/>
      <c r="E67" s="542"/>
      <c r="F67" s="542"/>
      <c r="G67" s="542"/>
      <c r="H67" s="542"/>
      <c r="I67" s="419"/>
    </row>
    <row r="68" spans="2:10" ht="15.75" thickBot="1">
      <c r="B68" s="442"/>
      <c r="C68" s="442"/>
      <c r="D68" s="442"/>
      <c r="E68" s="442"/>
      <c r="F68" s="442"/>
      <c r="G68" s="442"/>
      <c r="H68" s="442"/>
      <c r="I68" s="419"/>
    </row>
    <row r="69" spans="2:10" ht="32.25" thickBot="1">
      <c r="B69" s="420" t="s">
        <v>567</v>
      </c>
      <c r="C69" s="443" t="s">
        <v>568</v>
      </c>
      <c r="D69" s="443" t="s">
        <v>569</v>
      </c>
      <c r="E69" s="443" t="s">
        <v>570</v>
      </c>
      <c r="F69" s="443" t="s">
        <v>571</v>
      </c>
      <c r="G69" s="442"/>
      <c r="H69" s="442"/>
      <c r="I69" s="419"/>
    </row>
    <row r="70" spans="2:10" ht="16.5" thickBot="1">
      <c r="B70" s="272">
        <v>319850</v>
      </c>
      <c r="C70" s="273">
        <v>1.49</v>
      </c>
      <c r="D70" s="274">
        <v>0.1</v>
      </c>
      <c r="E70" s="273">
        <v>10</v>
      </c>
      <c r="F70" s="275">
        <f>B70*C70*D70*E70</f>
        <v>476576.5</v>
      </c>
      <c r="G70" s="442"/>
      <c r="H70" s="442"/>
      <c r="I70" s="419"/>
    </row>
    <row r="71" spans="2:10" ht="16.5" thickBot="1">
      <c r="B71" s="272">
        <v>319850</v>
      </c>
      <c r="C71" s="273">
        <v>1.49</v>
      </c>
      <c r="D71" s="274">
        <v>0.06</v>
      </c>
      <c r="E71" s="273">
        <v>5</v>
      </c>
      <c r="F71" s="275">
        <f t="shared" ref="F71:F72" si="3">B71*C71*D71*E71</f>
        <v>142972.95000000001</v>
      </c>
      <c r="G71" s="442"/>
      <c r="H71" s="442"/>
      <c r="I71" s="419"/>
      <c r="J71"/>
    </row>
    <row r="72" spans="2:10" ht="16.5" thickBot="1">
      <c r="B72" s="272">
        <v>319850</v>
      </c>
      <c r="C72" s="273">
        <v>1.49</v>
      </c>
      <c r="D72" s="274">
        <v>0.03</v>
      </c>
      <c r="E72" s="273">
        <v>5</v>
      </c>
      <c r="F72" s="275">
        <f t="shared" si="3"/>
        <v>71486.475000000006</v>
      </c>
      <c r="G72" s="442"/>
      <c r="H72" s="442"/>
      <c r="I72" s="419"/>
    </row>
    <row r="73" spans="2:10" ht="16.5" thickBot="1">
      <c r="B73" s="543" t="s">
        <v>572</v>
      </c>
      <c r="C73" s="544"/>
      <c r="D73" s="544"/>
      <c r="E73" s="545"/>
      <c r="F73" s="421">
        <f>SUM(F70:F72)</f>
        <v>691035.92499999993</v>
      </c>
      <c r="G73" s="419"/>
      <c r="H73" s="419"/>
      <c r="I73" s="419"/>
    </row>
    <row r="75" spans="2:10">
      <c r="B75" s="65" t="s">
        <v>573</v>
      </c>
    </row>
    <row r="78" spans="2:10" ht="29.45" customHeight="1">
      <c r="B78" s="461" t="s">
        <v>574</v>
      </c>
      <c r="C78" s="461"/>
      <c r="D78" s="461"/>
      <c r="E78" s="461"/>
    </row>
    <row r="79" spans="2:10" ht="9" customHeight="1">
      <c r="B79" s="405"/>
    </row>
    <row r="80" spans="2:10">
      <c r="B80" s="540" t="s">
        <v>575</v>
      </c>
      <c r="C80" s="540"/>
      <c r="D80" s="540"/>
      <c r="E80" s="176">
        <f>F73</f>
        <v>691035.92499999993</v>
      </c>
      <c r="G80"/>
    </row>
    <row r="81" spans="2:8">
      <c r="B81" s="541" t="s">
        <v>576</v>
      </c>
      <c r="C81" s="541"/>
      <c r="D81" s="541"/>
      <c r="E81" s="176">
        <v>52.69</v>
      </c>
    </row>
    <row r="82" spans="2:8" ht="25.15" customHeight="1">
      <c r="B82" s="541" t="s">
        <v>577</v>
      </c>
      <c r="C82" s="541"/>
      <c r="D82" s="541"/>
      <c r="E82" s="423">
        <f>E80*E81</f>
        <v>36410682.888249993</v>
      </c>
      <c r="G82"/>
    </row>
    <row r="83" spans="2:8">
      <c r="B83" s="540" t="s">
        <v>578</v>
      </c>
      <c r="C83" s="540"/>
      <c r="D83" s="540"/>
      <c r="E83" s="270">
        <v>8212000</v>
      </c>
    </row>
    <row r="84" spans="2:8" ht="7.9" customHeight="1">
      <c r="B84" s="405"/>
    </row>
    <row r="85" spans="2:8">
      <c r="B85" s="462" t="s">
        <v>579</v>
      </c>
      <c r="C85" s="462"/>
      <c r="D85" s="462"/>
      <c r="E85" s="444">
        <f>E82/E83</f>
        <v>4.4338386371468577</v>
      </c>
    </row>
    <row r="87" spans="2:8">
      <c r="B87" s="65" t="s">
        <v>580</v>
      </c>
      <c r="D87" s="176"/>
    </row>
    <row r="88" spans="2:8">
      <c r="B88" s="65" t="s">
        <v>581</v>
      </c>
      <c r="H88" s="122"/>
    </row>
    <row r="89" spans="2:8" ht="15.6" customHeight="1">
      <c r="B89" s="65" t="s">
        <v>582</v>
      </c>
    </row>
    <row r="90" spans="2:8">
      <c r="B90" s="424" t="s">
        <v>583</v>
      </c>
    </row>
    <row r="91" spans="2:8" ht="25.15" customHeight="1">
      <c r="B91" s="422" t="s">
        <v>584</v>
      </c>
    </row>
    <row r="95" spans="2:8" ht="17.25">
      <c r="B95" s="404" t="s">
        <v>585</v>
      </c>
    </row>
    <row r="97" spans="2:7" ht="14.45" customHeight="1">
      <c r="B97" s="542" t="s">
        <v>586</v>
      </c>
      <c r="C97" s="542"/>
      <c r="D97" s="542"/>
      <c r="E97" s="542"/>
      <c r="F97" s="542"/>
      <c r="G97" s="542"/>
    </row>
    <row r="98" spans="2:7">
      <c r="B98" s="542"/>
      <c r="C98" s="542"/>
      <c r="D98" s="542"/>
      <c r="E98" s="542"/>
      <c r="F98" s="542"/>
      <c r="G98" s="542"/>
    </row>
    <row r="99" spans="2:7">
      <c r="B99" s="542"/>
      <c r="C99" s="542"/>
      <c r="D99" s="542"/>
      <c r="E99" s="542"/>
      <c r="F99" s="542"/>
      <c r="G99" s="542"/>
    </row>
    <row r="100" spans="2:7">
      <c r="B100" s="542"/>
      <c r="C100" s="542"/>
      <c r="D100" s="542"/>
      <c r="E100" s="542"/>
      <c r="F100" s="542"/>
      <c r="G100" s="542"/>
    </row>
    <row r="102" spans="2:7" ht="15.75">
      <c r="B102" s="461" t="s">
        <v>587</v>
      </c>
      <c r="C102" s="461"/>
      <c r="D102" s="461"/>
      <c r="E102" s="461"/>
    </row>
    <row r="103" spans="2:7" ht="7.9" customHeight="1">
      <c r="B103" s="405"/>
    </row>
    <row r="104" spans="2:7">
      <c r="B104" s="540" t="s">
        <v>591</v>
      </c>
      <c r="C104" s="540"/>
      <c r="D104" s="540"/>
      <c r="E104" s="176">
        <v>128897524.46747264</v>
      </c>
    </row>
    <row r="105" spans="2:7">
      <c r="B105" s="540" t="s">
        <v>578</v>
      </c>
      <c r="C105" s="540"/>
      <c r="D105" s="540"/>
      <c r="E105" s="270">
        <v>8212000</v>
      </c>
      <c r="G105"/>
    </row>
    <row r="106" spans="2:7" ht="7.9" customHeight="1">
      <c r="B106" s="405"/>
    </row>
    <row r="107" spans="2:7">
      <c r="B107" s="462" t="s">
        <v>593</v>
      </c>
      <c r="C107" s="462"/>
      <c r="D107" s="462"/>
      <c r="E107" s="444">
        <f>E104/E105</f>
        <v>15.696240193311331</v>
      </c>
    </row>
    <row r="109" spans="2:7">
      <c r="B109" s="65" t="s">
        <v>588</v>
      </c>
    </row>
    <row r="110" spans="2:7">
      <c r="B110" s="423" t="s">
        <v>583</v>
      </c>
    </row>
    <row r="111" spans="2:7" ht="27" customHeight="1">
      <c r="B111" s="65" t="s">
        <v>592</v>
      </c>
    </row>
  </sheetData>
  <mergeCells count="34">
    <mergeCell ref="B104:D104"/>
    <mergeCell ref="B105:D105"/>
    <mergeCell ref="B107:D107"/>
    <mergeCell ref="B85:D85"/>
    <mergeCell ref="B82:D82"/>
    <mergeCell ref="B97:G100"/>
    <mergeCell ref="B102:E102"/>
    <mergeCell ref="B83:D83"/>
    <mergeCell ref="B63:H67"/>
    <mergeCell ref="B73:E73"/>
    <mergeCell ref="B78:E78"/>
    <mergeCell ref="B80:D80"/>
    <mergeCell ref="B81:D81"/>
    <mergeCell ref="B46:E46"/>
    <mergeCell ref="B52:D52"/>
    <mergeCell ref="B48:D48"/>
    <mergeCell ref="B49:D49"/>
    <mergeCell ref="B50:D50"/>
    <mergeCell ref="B3:H6"/>
    <mergeCell ref="B10:H16"/>
    <mergeCell ref="B30:C30"/>
    <mergeCell ref="J17:M17"/>
    <mergeCell ref="B18:C18"/>
    <mergeCell ref="B23:C23"/>
    <mergeCell ref="B24:C24"/>
    <mergeCell ref="B19:C19"/>
    <mergeCell ref="B20:C20"/>
    <mergeCell ref="B21:C21"/>
    <mergeCell ref="B22:C22"/>
    <mergeCell ref="B29:C29"/>
    <mergeCell ref="B25:C25"/>
    <mergeCell ref="B26:C26"/>
    <mergeCell ref="B27:C27"/>
    <mergeCell ref="B28:C28"/>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7ACCC-4E5C-44DD-AE75-F190270BE60E}">
  <dimension ref="A2:L32"/>
  <sheetViews>
    <sheetView showGridLines="0" zoomScaleNormal="100" workbookViewId="0"/>
  </sheetViews>
  <sheetFormatPr defaultColWidth="0" defaultRowHeight="12.75"/>
  <cols>
    <col min="1" max="1" width="13.28515625" style="227" customWidth="1"/>
    <col min="2" max="2" width="3" style="227" bestFit="1" customWidth="1"/>
    <col min="3" max="3" width="11.7109375" style="227" customWidth="1"/>
    <col min="4" max="4" width="12.5703125" style="227" customWidth="1"/>
    <col min="5" max="5" width="14.140625" style="227" customWidth="1"/>
    <col min="6" max="6" width="10.140625" style="227" customWidth="1"/>
    <col min="7" max="7" width="10.5703125" style="227" bestFit="1" customWidth="1"/>
    <col min="8" max="8" width="12.28515625" style="227" bestFit="1" customWidth="1"/>
    <col min="9" max="9" width="9.7109375" style="227" bestFit="1" customWidth="1"/>
    <col min="10" max="12" width="0" style="227" hidden="1" customWidth="1"/>
    <col min="13" max="16384" width="9.140625" style="227" hidden="1"/>
  </cols>
  <sheetData>
    <row r="2" spans="2:9">
      <c r="B2" s="450" t="s">
        <v>9</v>
      </c>
      <c r="C2" s="451"/>
      <c r="D2" s="451"/>
      <c r="E2" s="451"/>
      <c r="F2" s="451"/>
      <c r="G2" s="451"/>
      <c r="H2" s="451"/>
    </row>
    <row r="3" spans="2:9" ht="36" customHeight="1">
      <c r="B3" s="451"/>
      <c r="C3" s="451"/>
      <c r="D3" s="451"/>
      <c r="E3" s="451"/>
      <c r="F3" s="451"/>
      <c r="G3" s="451"/>
      <c r="H3" s="451"/>
    </row>
    <row r="5" spans="2:9">
      <c r="B5" s="452" t="s">
        <v>10</v>
      </c>
      <c r="C5" s="452"/>
      <c r="D5" s="452"/>
      <c r="E5" s="452"/>
      <c r="F5" s="452"/>
      <c r="G5" s="452"/>
      <c r="H5" s="452"/>
    </row>
    <row r="6" spans="2:9">
      <c r="B6" s="452"/>
      <c r="C6" s="452"/>
      <c r="D6" s="452"/>
      <c r="E6" s="452"/>
      <c r="F6" s="452"/>
      <c r="G6" s="452"/>
      <c r="H6" s="452"/>
    </row>
    <row r="7" spans="2:9">
      <c r="B7" s="452"/>
      <c r="C7" s="452"/>
      <c r="D7" s="452"/>
      <c r="E7" s="452"/>
      <c r="F7" s="452"/>
      <c r="G7" s="452"/>
      <c r="H7" s="452"/>
    </row>
    <row r="8" spans="2:9">
      <c r="B8" s="452"/>
      <c r="C8" s="452"/>
      <c r="D8" s="452"/>
      <c r="E8" s="452"/>
      <c r="F8" s="452"/>
      <c r="G8" s="452"/>
      <c r="H8" s="452"/>
    </row>
    <row r="9" spans="2:9">
      <c r="B9" s="452"/>
      <c r="C9" s="452"/>
      <c r="D9" s="452"/>
      <c r="E9" s="452"/>
      <c r="F9" s="452"/>
      <c r="G9" s="452"/>
      <c r="H9" s="452"/>
    </row>
    <row r="10" spans="2:9" ht="15">
      <c r="B10" s="452"/>
      <c r="C10" s="452"/>
      <c r="D10" s="452"/>
      <c r="E10" s="452"/>
      <c r="F10" s="452"/>
      <c r="G10" s="452"/>
      <c r="H10" s="452"/>
      <c r="I10"/>
    </row>
    <row r="12" spans="2:9">
      <c r="C12" s="453" t="s">
        <v>11</v>
      </c>
      <c r="D12" s="454"/>
      <c r="E12" s="454"/>
      <c r="F12" s="454"/>
    </row>
    <row r="13" spans="2:9">
      <c r="C13" s="228" t="s">
        <v>12</v>
      </c>
      <c r="D13" s="229">
        <v>5227.84</v>
      </c>
      <c r="E13" s="228" t="s">
        <v>13</v>
      </c>
      <c r="F13" s="229">
        <v>5348.49</v>
      </c>
    </row>
    <row r="14" spans="2:9">
      <c r="C14" s="228" t="s">
        <v>14</v>
      </c>
      <c r="D14" s="229">
        <v>5233.07</v>
      </c>
      <c r="E14" s="228" t="s">
        <v>15</v>
      </c>
      <c r="F14" s="229">
        <v>5331.91</v>
      </c>
    </row>
    <row r="15" spans="2:9">
      <c r="C15" s="228" t="s">
        <v>16</v>
      </c>
      <c r="D15" s="229">
        <v>5259.76</v>
      </c>
      <c r="E15" s="228" t="s">
        <v>17</v>
      </c>
      <c r="F15" s="229">
        <v>5311.65</v>
      </c>
    </row>
    <row r="16" spans="2:9">
      <c r="C16" s="228" t="s">
        <v>18</v>
      </c>
      <c r="D16" s="229">
        <v>5320.25</v>
      </c>
      <c r="E16" s="228" t="s">
        <v>19</v>
      </c>
      <c r="F16" s="229">
        <v>5325.46</v>
      </c>
    </row>
    <row r="17" spans="2:9">
      <c r="C17" s="228" t="s">
        <v>20</v>
      </c>
      <c r="D17" s="229">
        <v>5331.42</v>
      </c>
      <c r="E17" s="228" t="s">
        <v>21</v>
      </c>
      <c r="F17" s="229">
        <v>5344.63</v>
      </c>
    </row>
    <row r="18" spans="2:9">
      <c r="C18" s="228" t="s">
        <v>22</v>
      </c>
      <c r="D18" s="229">
        <v>5344.75</v>
      </c>
      <c r="E18" s="228" t="s">
        <v>23</v>
      </c>
      <c r="F18" s="229">
        <v>5357.46</v>
      </c>
    </row>
    <row r="19" spans="2:9">
      <c r="E19" s="232"/>
      <c r="F19" s="233"/>
    </row>
    <row r="20" spans="2:9">
      <c r="C20" s="455" t="s">
        <v>24</v>
      </c>
      <c r="D20" s="455"/>
      <c r="E20" s="230">
        <f>F18/D13</f>
        <v>1.0247941788578074</v>
      </c>
    </row>
    <row r="21" spans="2:9">
      <c r="C21" s="296" t="s">
        <v>25</v>
      </c>
      <c r="F21" s="240"/>
    </row>
    <row r="23" spans="2:9">
      <c r="B23" s="456"/>
      <c r="C23" s="456"/>
      <c r="D23" s="456"/>
      <c r="E23" s="456"/>
      <c r="F23" s="456"/>
      <c r="G23" s="456"/>
      <c r="H23" s="456"/>
    </row>
    <row r="24" spans="2:9" ht="25.5">
      <c r="B24" s="448" t="s">
        <v>1</v>
      </c>
      <c r="C24" s="448"/>
      <c r="D24" s="448"/>
      <c r="E24" s="283" t="s">
        <v>2</v>
      </c>
      <c r="F24" s="283" t="s">
        <v>26</v>
      </c>
      <c r="G24" s="283" t="s">
        <v>27</v>
      </c>
      <c r="H24" s="283" t="s">
        <v>28</v>
      </c>
    </row>
    <row r="25" spans="2:9" s="3" customFormat="1" ht="30.6" customHeight="1">
      <c r="B25" s="449" t="s">
        <v>5</v>
      </c>
      <c r="C25" s="449"/>
      <c r="D25" s="449"/>
      <c r="E25" s="435" t="s">
        <v>4</v>
      </c>
      <c r="F25" s="304">
        <v>11.933719438691602</v>
      </c>
      <c r="G25" s="305">
        <f>$E$20</f>
        <v>1.0247941788578074</v>
      </c>
      <c r="H25" s="306">
        <f>F25*G25</f>
        <v>12.229606212893415</v>
      </c>
      <c r="I25" s="307"/>
    </row>
    <row r="26" spans="2:9" s="3" customFormat="1" ht="30.6" customHeight="1">
      <c r="B26" s="449" t="s">
        <v>6</v>
      </c>
      <c r="C26" s="449"/>
      <c r="D26" s="449"/>
      <c r="E26" s="435" t="s">
        <v>4</v>
      </c>
      <c r="F26" s="304">
        <v>20.920347494822444</v>
      </c>
      <c r="G26" s="305">
        <f>$E$20</f>
        <v>1.0247941788578074</v>
      </c>
      <c r="H26" s="306">
        <f t="shared" ref="H26:H27" si="0">F26*G26</f>
        <v>21.439050332376556</v>
      </c>
    </row>
    <row r="27" spans="2:9" s="3" customFormat="1" ht="30.6" customHeight="1">
      <c r="B27" s="449" t="s">
        <v>7</v>
      </c>
      <c r="C27" s="449"/>
      <c r="D27" s="449"/>
      <c r="E27" s="435" t="s">
        <v>4</v>
      </c>
      <c r="F27" s="304">
        <v>18.604657772024936</v>
      </c>
      <c r="G27" s="305">
        <f>$E$20</f>
        <v>1.0247941788578074</v>
      </c>
      <c r="H27" s="306">
        <f t="shared" si="0"/>
        <v>19.06594498441282</v>
      </c>
    </row>
    <row r="28" spans="2:9">
      <c r="B28" s="231"/>
      <c r="E28" s="239"/>
      <c r="F28" s="239"/>
    </row>
    <row r="29" spans="2:9">
      <c r="B29" s="227" t="s">
        <v>29</v>
      </c>
      <c r="G29" s="227" t="s">
        <v>30</v>
      </c>
    </row>
    <row r="31" spans="2:9">
      <c r="B31" s="227" t="s">
        <v>31</v>
      </c>
    </row>
    <row r="32" spans="2:9" ht="15">
      <c r="B32"/>
    </row>
  </sheetData>
  <mergeCells count="9">
    <mergeCell ref="B24:D24"/>
    <mergeCell ref="B25:D25"/>
    <mergeCell ref="B26:D26"/>
    <mergeCell ref="B27:D27"/>
    <mergeCell ref="B2:H3"/>
    <mergeCell ref="B5:H10"/>
    <mergeCell ref="C12:F12"/>
    <mergeCell ref="C20:D20"/>
    <mergeCell ref="B23:H23"/>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D598-9F6A-444F-825D-A79B015C0799}">
  <dimension ref="A2:AG42"/>
  <sheetViews>
    <sheetView showGridLines="0" topLeftCell="A17" zoomScaleNormal="100" workbookViewId="0">
      <selection activeCell="I21" sqref="I21"/>
    </sheetView>
  </sheetViews>
  <sheetFormatPr defaultColWidth="0" defaultRowHeight="12.75"/>
  <cols>
    <col min="1" max="1" width="1.7109375" style="2" customWidth="1"/>
    <col min="2" max="2" width="4.7109375" style="2" customWidth="1"/>
    <col min="3" max="3" width="10.28515625" style="2" customWidth="1"/>
    <col min="4" max="4" width="15.28515625" style="2" customWidth="1"/>
    <col min="5" max="5" width="13.140625" style="2" customWidth="1"/>
    <col min="6" max="6" width="11.85546875" style="2" bestFit="1" customWidth="1"/>
    <col min="7" max="7" width="12.85546875" style="2" customWidth="1"/>
    <col min="8" max="8" width="11.85546875" style="2" customWidth="1"/>
    <col min="9" max="9" width="11.7109375" style="2" customWidth="1"/>
    <col min="10" max="10" width="10.28515625" style="2" customWidth="1"/>
    <col min="11" max="33" width="0" style="2" hidden="1" customWidth="1"/>
    <col min="34" max="16384" width="9.140625" style="2" hidden="1"/>
  </cols>
  <sheetData>
    <row r="2" spans="3:10">
      <c r="C2" s="458" t="s">
        <v>32</v>
      </c>
      <c r="D2" s="459"/>
      <c r="E2" s="459"/>
      <c r="F2" s="459"/>
      <c r="G2" s="459"/>
      <c r="H2" s="459"/>
      <c r="I2" s="459"/>
    </row>
    <row r="3" spans="3:10">
      <c r="C3" s="459"/>
      <c r="D3" s="459"/>
      <c r="E3" s="459"/>
      <c r="F3" s="459"/>
      <c r="G3" s="459"/>
      <c r="H3" s="459"/>
      <c r="I3" s="459"/>
    </row>
    <row r="5" spans="3:10" ht="14.45" customHeight="1">
      <c r="C5" s="460" t="s">
        <v>33</v>
      </c>
      <c r="D5" s="460"/>
      <c r="E5" s="460"/>
      <c r="F5" s="460"/>
      <c r="G5" s="460"/>
      <c r="H5" s="460"/>
      <c r="I5" s="460"/>
      <c r="J5" s="6"/>
    </row>
    <row r="6" spans="3:10">
      <c r="C6" s="460"/>
      <c r="D6" s="460"/>
      <c r="E6" s="460"/>
      <c r="F6" s="460"/>
      <c r="G6" s="460"/>
      <c r="H6" s="460"/>
      <c r="I6" s="460"/>
      <c r="J6" s="6"/>
    </row>
    <row r="7" spans="3:10">
      <c r="C7" s="460"/>
      <c r="D7" s="460"/>
      <c r="E7" s="460"/>
      <c r="F7" s="460"/>
      <c r="G7" s="460"/>
      <c r="H7" s="460"/>
      <c r="I7" s="460"/>
      <c r="J7" s="6"/>
    </row>
    <row r="8" spans="3:10">
      <c r="C8" s="460"/>
      <c r="D8" s="460"/>
      <c r="E8" s="460"/>
      <c r="F8" s="460"/>
      <c r="G8" s="460"/>
      <c r="H8" s="460"/>
      <c r="I8" s="460"/>
      <c r="J8" s="6"/>
    </row>
    <row r="9" spans="3:10">
      <c r="C9" s="460"/>
      <c r="D9" s="460"/>
      <c r="E9" s="460"/>
      <c r="F9" s="460"/>
      <c r="G9" s="460"/>
      <c r="H9" s="460"/>
      <c r="I9" s="460"/>
      <c r="J9" s="6"/>
    </row>
    <row r="10" spans="3:10">
      <c r="C10" s="460"/>
      <c r="D10" s="460"/>
      <c r="E10" s="460"/>
      <c r="F10" s="460"/>
      <c r="G10" s="460"/>
      <c r="H10" s="460"/>
      <c r="I10" s="460"/>
      <c r="J10" s="6"/>
    </row>
    <row r="11" spans="3:10">
      <c r="C11" s="460"/>
      <c r="D11" s="460"/>
      <c r="E11" s="460"/>
      <c r="F11" s="460"/>
      <c r="G11" s="460"/>
      <c r="H11" s="460"/>
      <c r="I11" s="460"/>
      <c r="J11" s="6"/>
    </row>
    <row r="12" spans="3:10">
      <c r="C12" s="460"/>
      <c r="D12" s="460"/>
      <c r="E12" s="460"/>
      <c r="F12" s="460"/>
      <c r="G12" s="460"/>
      <c r="H12" s="460"/>
      <c r="I12" s="460"/>
      <c r="J12" s="6"/>
    </row>
    <row r="13" spans="3:10">
      <c r="C13" s="460"/>
      <c r="D13" s="460"/>
      <c r="E13" s="460"/>
      <c r="F13" s="460"/>
      <c r="G13" s="460"/>
      <c r="H13" s="460"/>
      <c r="I13" s="460"/>
      <c r="J13" s="6"/>
    </row>
    <row r="15" spans="3:10" ht="9.9499999999999993" customHeight="1"/>
    <row r="16" spans="3:10" s="219" customFormat="1" ht="18" customHeight="1">
      <c r="C16" s="457" t="s">
        <v>34</v>
      </c>
      <c r="D16" s="457"/>
      <c r="E16" s="457"/>
      <c r="F16" s="457"/>
      <c r="G16" s="457"/>
      <c r="H16" s="457"/>
      <c r="I16" s="457"/>
    </row>
    <row r="17" spans="1:23" ht="42" customHeight="1">
      <c r="C17" s="277" t="s">
        <v>35</v>
      </c>
      <c r="D17" s="277" t="s">
        <v>36</v>
      </c>
      <c r="E17" s="277" t="s">
        <v>37</v>
      </c>
      <c r="F17" s="277" t="s">
        <v>38</v>
      </c>
      <c r="G17" s="277" t="s">
        <v>39</v>
      </c>
      <c r="H17" s="277" t="s">
        <v>40</v>
      </c>
      <c r="I17" s="277" t="s">
        <v>41</v>
      </c>
    </row>
    <row r="18" spans="1:23">
      <c r="C18" s="217" t="s">
        <v>42</v>
      </c>
      <c r="D18" s="57" t="s">
        <v>43</v>
      </c>
      <c r="E18" s="57">
        <v>174092.21</v>
      </c>
      <c r="F18" s="57">
        <v>180006.58</v>
      </c>
      <c r="G18" s="57">
        <f>F18/26</f>
        <v>6923.33</v>
      </c>
      <c r="H18" s="57">
        <f>(F18/26)*16</f>
        <v>110773.28</v>
      </c>
      <c r="I18" s="57">
        <f>H18/220</f>
        <v>503.5149090909091</v>
      </c>
    </row>
    <row r="19" spans="1:23" customFormat="1" ht="15">
      <c r="A19" s="2"/>
      <c r="B19" s="2"/>
      <c r="C19" s="217" t="s">
        <v>44</v>
      </c>
      <c r="D19" s="57" t="s">
        <v>45</v>
      </c>
      <c r="E19" s="57">
        <v>150919.38</v>
      </c>
      <c r="F19" s="57">
        <f>E19*(F18/E18)</f>
        <v>156046.5080517985</v>
      </c>
      <c r="G19" s="57">
        <f t="shared" ref="G19:G20" si="0">F19/26</f>
        <v>6001.7887712230195</v>
      </c>
      <c r="H19" s="57">
        <f>(F19/26)*16</f>
        <v>96028.620339568311</v>
      </c>
      <c r="I19" s="57">
        <f t="shared" ref="I19" si="1">H19/220</f>
        <v>436.49372881621957</v>
      </c>
      <c r="J19" s="2"/>
      <c r="K19" s="2"/>
      <c r="L19" s="2"/>
      <c r="M19" s="2"/>
      <c r="N19" s="2"/>
      <c r="O19" s="2"/>
      <c r="P19" s="2"/>
      <c r="Q19" s="2"/>
      <c r="R19" s="2"/>
      <c r="S19" s="2"/>
      <c r="T19" s="2"/>
      <c r="U19" s="2"/>
      <c r="V19" s="2"/>
      <c r="W19" s="2"/>
    </row>
    <row r="20" spans="1:23" customFormat="1" ht="15">
      <c r="A20" s="2"/>
      <c r="B20" s="2"/>
      <c r="C20" s="217" t="s">
        <v>46</v>
      </c>
      <c r="D20" s="57" t="s">
        <v>47</v>
      </c>
      <c r="E20" s="57">
        <v>163878.63</v>
      </c>
      <c r="F20" s="57">
        <f>E20*(F18/E18)</f>
        <v>169446.01783954259</v>
      </c>
      <c r="G20" s="57">
        <f t="shared" si="0"/>
        <v>6517.1545322900993</v>
      </c>
      <c r="H20" s="218">
        <f>(F20/26)*16</f>
        <v>104274.47251664159</v>
      </c>
      <c r="I20" s="218">
        <f>H20/220</f>
        <v>473.97487507564358</v>
      </c>
      <c r="J20" s="2"/>
      <c r="K20" s="2"/>
      <c r="L20" s="2"/>
      <c r="M20" s="2"/>
      <c r="N20" s="2"/>
      <c r="O20" s="2"/>
      <c r="P20" s="2"/>
      <c r="Q20" s="2"/>
      <c r="R20" s="2"/>
      <c r="S20" s="2"/>
      <c r="T20" s="2"/>
      <c r="U20" s="2"/>
      <c r="V20" s="2"/>
      <c r="W20" s="2"/>
    </row>
    <row r="21" spans="1:23" customFormat="1" ht="15">
      <c r="A21" s="2"/>
      <c r="B21" s="2"/>
      <c r="C21" s="278" t="s">
        <v>48</v>
      </c>
      <c r="D21" s="279"/>
      <c r="E21" s="279">
        <f>AVERAGE(E18:E20)</f>
        <v>162963.40666666665</v>
      </c>
      <c r="F21" s="279">
        <f>AVERAGE(F18:F20)</f>
        <v>168499.70196378036</v>
      </c>
      <c r="G21" s="279">
        <f>AVERAGE(G18:G20)</f>
        <v>6480.7577678377065</v>
      </c>
      <c r="H21" s="279">
        <f>AVERAGE(H18:H20)</f>
        <v>103692.1242854033</v>
      </c>
      <c r="I21" s="279">
        <f>AVERAGE(I18:I20)</f>
        <v>471.3278376609241</v>
      </c>
      <c r="J21" s="2"/>
      <c r="K21" s="2"/>
      <c r="L21" s="2"/>
      <c r="M21" s="2"/>
      <c r="N21" s="2"/>
      <c r="O21" s="2"/>
      <c r="P21" s="2"/>
      <c r="Q21" s="2"/>
      <c r="R21" s="2"/>
      <c r="S21" s="2"/>
      <c r="T21" s="2"/>
      <c r="U21" s="2"/>
      <c r="V21" s="2"/>
      <c r="W21" s="2"/>
    </row>
    <row r="22" spans="1:23" customFormat="1" ht="15">
      <c r="A22" s="2"/>
      <c r="B22" s="2"/>
      <c r="C22" s="241" t="s">
        <v>49</v>
      </c>
      <c r="D22" s="241"/>
      <c r="E22" s="241"/>
      <c r="F22" s="241"/>
      <c r="G22" s="241"/>
      <c r="H22" s="241"/>
      <c r="I22" s="241"/>
      <c r="J22" s="241"/>
      <c r="K22" s="2"/>
      <c r="L22" s="2"/>
      <c r="M22" s="2"/>
      <c r="N22" s="2"/>
      <c r="O22" s="2"/>
      <c r="P22" s="2"/>
      <c r="Q22" s="2"/>
      <c r="R22" s="2"/>
      <c r="S22" s="2"/>
      <c r="T22" s="2"/>
      <c r="U22" s="2"/>
      <c r="V22" s="2"/>
      <c r="W22" s="2"/>
    </row>
    <row r="23" spans="1:23" s="207" customFormat="1" ht="4.1500000000000004" customHeight="1">
      <c r="C23" s="241"/>
      <c r="D23" s="241"/>
      <c r="E23" s="241"/>
      <c r="F23" s="241"/>
      <c r="G23" s="241"/>
      <c r="H23" s="241"/>
      <c r="I23" s="241"/>
      <c r="J23" s="241"/>
    </row>
    <row r="24" spans="1:23">
      <c r="C24" s="241"/>
      <c r="D24" s="241"/>
      <c r="E24" s="241"/>
      <c r="F24" s="241"/>
      <c r="G24" s="241"/>
      <c r="H24" s="241"/>
      <c r="I24" s="241"/>
      <c r="J24" s="241"/>
    </row>
    <row r="25" spans="1:23">
      <c r="C25" s="2" t="s">
        <v>50</v>
      </c>
    </row>
    <row r="26" spans="1:23">
      <c r="C26" s="2" t="s">
        <v>51</v>
      </c>
    </row>
    <row r="27" spans="1:23" ht="21" customHeight="1">
      <c r="C27" s="2" t="s">
        <v>52</v>
      </c>
    </row>
    <row r="29" spans="1:23">
      <c r="C29" s="2" t="s">
        <v>53</v>
      </c>
    </row>
    <row r="30" spans="1:23" ht="24.6" customHeight="1">
      <c r="C30" s="2" t="s">
        <v>54</v>
      </c>
    </row>
    <row r="31" spans="1:23" ht="15">
      <c r="D31"/>
    </row>
    <row r="33" spans="3:8" ht="33.6" customHeight="1">
      <c r="C33" s="461" t="s">
        <v>55</v>
      </c>
      <c r="D33" s="461"/>
      <c r="E33" s="461"/>
      <c r="F33" s="461"/>
    </row>
    <row r="34" spans="3:8" ht="8.4499999999999993" customHeight="1"/>
    <row r="35" spans="3:8">
      <c r="C35" s="23" t="s">
        <v>56</v>
      </c>
      <c r="F35" s="221">
        <f>I21</f>
        <v>471.3278376609241</v>
      </c>
    </row>
    <row r="36" spans="3:8">
      <c r="C36" s="23" t="s">
        <v>57</v>
      </c>
      <c r="F36" s="222">
        <f>BDI_Geral!C20</f>
        <v>0.10289999999999999</v>
      </c>
      <c r="H36" s="38"/>
    </row>
    <row r="37" spans="3:8" ht="8.4499999999999993" customHeight="1"/>
    <row r="38" spans="3:8" ht="15">
      <c r="C38" s="462" t="s">
        <v>58</v>
      </c>
      <c r="D38" s="462"/>
      <c r="E38" s="462"/>
      <c r="F38" s="212">
        <f>F35*(1+F36)</f>
        <v>519.82747215623317</v>
      </c>
      <c r="G38" s="38"/>
    </row>
    <row r="40" spans="3:8">
      <c r="C40" s="2" t="s">
        <v>59</v>
      </c>
    </row>
    <row r="42" spans="3:8" ht="15">
      <c r="E42"/>
    </row>
  </sheetData>
  <mergeCells count="5">
    <mergeCell ref="C16:I16"/>
    <mergeCell ref="C2:I3"/>
    <mergeCell ref="C5:I13"/>
    <mergeCell ref="C33:F33"/>
    <mergeCell ref="C38:E38"/>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1D1C0-7E98-4A58-B0E0-266EEEE71020}">
  <dimension ref="A2:H20"/>
  <sheetViews>
    <sheetView showGridLines="0" zoomScaleNormal="100" workbookViewId="0">
      <selection activeCell="B5" sqref="B5:C10"/>
    </sheetView>
  </sheetViews>
  <sheetFormatPr defaultColWidth="0" defaultRowHeight="15"/>
  <cols>
    <col min="1" max="1" width="3.42578125" customWidth="1"/>
    <col min="2" max="2" width="55.5703125" bestFit="1" customWidth="1"/>
    <col min="3" max="3" width="15.28515625" customWidth="1"/>
    <col min="4" max="4" width="8.5703125" customWidth="1"/>
    <col min="5" max="16384" width="8.85546875" hidden="1"/>
  </cols>
  <sheetData>
    <row r="2" spans="2:8" ht="14.45" customHeight="1">
      <c r="B2" s="466" t="s">
        <v>60</v>
      </c>
      <c r="C2" s="466"/>
      <c r="D2" s="308"/>
      <c r="E2" s="308"/>
      <c r="F2" s="308"/>
      <c r="G2" s="308"/>
      <c r="H2" s="308"/>
    </row>
    <row r="3" spans="2:8" ht="14.45" customHeight="1">
      <c r="B3" s="466"/>
      <c r="C3" s="466"/>
      <c r="D3" s="308"/>
      <c r="E3" s="308"/>
      <c r="F3" s="308"/>
      <c r="G3" s="308"/>
      <c r="H3" s="308"/>
    </row>
    <row r="4" spans="2:8" ht="14.45" customHeight="1">
      <c r="B4" s="429"/>
      <c r="C4" s="429"/>
      <c r="D4" s="308"/>
      <c r="E4" s="308"/>
      <c r="F4" s="308"/>
      <c r="G4" s="308"/>
      <c r="H4" s="308"/>
    </row>
    <row r="5" spans="2:8" ht="14.45" customHeight="1">
      <c r="B5" s="467" t="s">
        <v>61</v>
      </c>
      <c r="C5" s="467"/>
      <c r="D5" s="308"/>
      <c r="E5" s="308"/>
      <c r="F5" s="308"/>
      <c r="G5" s="308"/>
      <c r="H5" s="308"/>
    </row>
    <row r="6" spans="2:8" ht="14.45" customHeight="1">
      <c r="B6" s="467"/>
      <c r="C6" s="467"/>
      <c r="D6" s="308"/>
      <c r="E6" s="308"/>
      <c r="F6" s="308"/>
      <c r="G6" s="308"/>
      <c r="H6" s="308"/>
    </row>
    <row r="7" spans="2:8" ht="14.45" customHeight="1">
      <c r="B7" s="467"/>
      <c r="C7" s="467"/>
      <c r="D7" s="308"/>
      <c r="E7" s="308"/>
      <c r="F7" s="308"/>
      <c r="G7" s="308"/>
      <c r="H7" s="308"/>
    </row>
    <row r="8" spans="2:8" ht="14.45" customHeight="1">
      <c r="B8" s="467"/>
      <c r="C8" s="467"/>
      <c r="D8" s="308"/>
      <c r="E8" s="308"/>
      <c r="F8" s="308"/>
      <c r="G8" s="308"/>
      <c r="H8" s="308"/>
    </row>
    <row r="9" spans="2:8">
      <c r="B9" s="467"/>
      <c r="C9" s="467"/>
    </row>
    <row r="10" spans="2:8">
      <c r="B10" s="467"/>
      <c r="C10" s="467"/>
    </row>
    <row r="13" spans="2:8" ht="15.75">
      <c r="B13" s="463" t="s">
        <v>62</v>
      </c>
      <c r="C13" s="463"/>
    </row>
    <row r="14" spans="2:8">
      <c r="B14" s="464"/>
      <c r="C14" s="465"/>
    </row>
    <row r="15" spans="2:8" ht="15.75">
      <c r="B15" s="298" t="s">
        <v>63</v>
      </c>
      <c r="C15" s="298"/>
    </row>
    <row r="16" spans="2:8">
      <c r="B16" s="299" t="s">
        <v>64</v>
      </c>
      <c r="C16" s="300">
        <v>4.9299999999999997E-2</v>
      </c>
    </row>
    <row r="17" spans="2:3">
      <c r="B17" s="299" t="s">
        <v>65</v>
      </c>
      <c r="C17" s="300">
        <v>0.03</v>
      </c>
    </row>
    <row r="18" spans="2:3">
      <c r="B18" s="299" t="s">
        <v>66</v>
      </c>
      <c r="C18" s="300">
        <v>1.3899999999999999E-2</v>
      </c>
    </row>
    <row r="19" spans="2:3">
      <c r="B19" s="299" t="s">
        <v>67</v>
      </c>
      <c r="C19" s="300">
        <v>9.7000000000000003E-3</v>
      </c>
    </row>
    <row r="20" spans="2:3" ht="15.75">
      <c r="B20" s="301" t="s">
        <v>68</v>
      </c>
      <c r="C20" s="302">
        <f>SUM(C16:C19)</f>
        <v>0.10289999999999999</v>
      </c>
    </row>
  </sheetData>
  <mergeCells count="4">
    <mergeCell ref="B13:C13"/>
    <mergeCell ref="B14:C14"/>
    <mergeCell ref="B2:C3"/>
    <mergeCell ref="B5:C1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9122-5F7E-4051-8783-36AC4BE88B89}">
  <dimension ref="A1:AN56"/>
  <sheetViews>
    <sheetView showGridLines="0" topLeftCell="A34" zoomScaleNormal="100" workbookViewId="0"/>
  </sheetViews>
  <sheetFormatPr defaultColWidth="0" defaultRowHeight="15"/>
  <cols>
    <col min="1" max="1" width="8.140625" style="2" customWidth="1"/>
    <col min="2" max="3" width="10.28515625" style="2" customWidth="1"/>
    <col min="4" max="4" width="14.7109375" style="2" customWidth="1"/>
    <col min="5" max="5" width="11.7109375" style="2" customWidth="1"/>
    <col min="6" max="6" width="10.28515625" style="2" customWidth="1"/>
    <col min="7" max="7" width="14" customWidth="1"/>
    <col min="8" max="8" width="17.28515625" customWidth="1"/>
    <col min="9" max="35" width="17.28515625" style="2" hidden="1" customWidth="1"/>
    <col min="36" max="40" width="0" style="2" hidden="1" customWidth="1"/>
    <col min="41" max="16384" width="17.28515625" style="2" hidden="1"/>
  </cols>
  <sheetData>
    <row r="1" spans="2:8" ht="14.45" customHeight="1">
      <c r="B1" s="468" t="s">
        <v>69</v>
      </c>
      <c r="C1" s="468"/>
      <c r="D1" s="468"/>
      <c r="E1" s="468"/>
      <c r="F1" s="468"/>
      <c r="G1" s="468"/>
    </row>
    <row r="2" spans="2:8" ht="34.9" customHeight="1">
      <c r="B2" s="468"/>
      <c r="C2" s="468"/>
      <c r="D2" s="468"/>
      <c r="E2" s="468"/>
      <c r="F2" s="468"/>
      <c r="G2" s="468"/>
    </row>
    <row r="3" spans="2:8">
      <c r="B3" s="468"/>
      <c r="C3" s="468"/>
      <c r="D3" s="468"/>
      <c r="E3" s="468"/>
      <c r="F3" s="468"/>
      <c r="G3" s="468"/>
    </row>
    <row r="4" spans="2:8" ht="14.45" customHeight="1">
      <c r="B4" s="469" t="s">
        <v>70</v>
      </c>
      <c r="C4" s="469"/>
      <c r="D4" s="469"/>
      <c r="E4" s="469"/>
      <c r="F4" s="469"/>
      <c r="G4" s="469"/>
    </row>
    <row r="5" spans="2:8">
      <c r="B5" s="469"/>
      <c r="C5" s="469"/>
      <c r="D5" s="469"/>
      <c r="E5" s="469"/>
      <c r="F5" s="469"/>
      <c r="G5" s="469"/>
    </row>
    <row r="6" spans="2:8">
      <c r="B6" s="469"/>
      <c r="C6" s="469"/>
      <c r="D6" s="469"/>
      <c r="E6" s="469"/>
      <c r="F6" s="469"/>
      <c r="G6" s="469"/>
    </row>
    <row r="7" spans="2:8">
      <c r="B7" s="469"/>
      <c r="C7" s="469"/>
      <c r="D7" s="469"/>
      <c r="E7" s="469"/>
      <c r="F7" s="469"/>
      <c r="G7" s="469"/>
    </row>
    <row r="8" spans="2:8">
      <c r="B8" s="469"/>
      <c r="C8" s="469"/>
      <c r="D8" s="469"/>
      <c r="E8" s="469"/>
      <c r="F8" s="469"/>
      <c r="G8" s="469"/>
    </row>
    <row r="9" spans="2:8">
      <c r="B9" s="469"/>
      <c r="C9" s="469"/>
      <c r="D9" s="469"/>
      <c r="E9" s="469"/>
      <c r="F9" s="469"/>
      <c r="G9" s="469"/>
    </row>
    <row r="10" spans="2:8">
      <c r="B10" s="469"/>
      <c r="C10" s="469"/>
      <c r="D10" s="469"/>
      <c r="E10" s="469"/>
      <c r="F10" s="469"/>
      <c r="G10" s="469"/>
    </row>
    <row r="11" spans="2:8">
      <c r="B11" s="469"/>
      <c r="C11" s="469"/>
      <c r="D11" s="469"/>
      <c r="E11" s="469"/>
      <c r="F11" s="469"/>
      <c r="G11" s="469"/>
    </row>
    <row r="12" spans="2:8">
      <c r="B12" s="469"/>
      <c r="C12" s="469"/>
      <c r="D12" s="469"/>
      <c r="E12" s="469"/>
      <c r="F12" s="469"/>
      <c r="G12" s="469"/>
    </row>
    <row r="13" spans="2:8">
      <c r="B13" s="469"/>
      <c r="C13" s="469"/>
      <c r="D13" s="469"/>
      <c r="E13" s="469"/>
      <c r="F13" s="469"/>
      <c r="G13" s="469"/>
    </row>
    <row r="14" spans="2:8">
      <c r="B14" s="469"/>
      <c r="C14" s="469"/>
      <c r="D14" s="469"/>
      <c r="E14" s="469"/>
      <c r="F14" s="469"/>
      <c r="G14" s="469"/>
    </row>
    <row r="15" spans="2:8" s="219" customFormat="1" ht="19.899999999999999" customHeight="1">
      <c r="G15" s="220"/>
      <c r="H15" s="220"/>
    </row>
    <row r="16" spans="2:8" ht="27.6" customHeight="1">
      <c r="C16" s="276" t="s">
        <v>71</v>
      </c>
      <c r="D16" s="277" t="s">
        <v>36</v>
      </c>
      <c r="E16" s="276" t="s">
        <v>72</v>
      </c>
      <c r="F16" s="276" t="s">
        <v>73</v>
      </c>
      <c r="G16" s="37"/>
      <c r="H16" s="37"/>
    </row>
    <row r="17" spans="2:8" ht="12.75">
      <c r="C17" s="217" t="s">
        <v>42</v>
      </c>
      <c r="D17" s="57" t="s">
        <v>43</v>
      </c>
      <c r="E17" s="57">
        <v>111.92</v>
      </c>
      <c r="F17" s="57">
        <v>114.18</v>
      </c>
      <c r="G17" s="297"/>
      <c r="H17" s="2"/>
    </row>
    <row r="18" spans="2:8" customFormat="1">
      <c r="B18" s="2"/>
      <c r="C18" s="217" t="s">
        <v>44</v>
      </c>
      <c r="D18" s="57" t="s">
        <v>45</v>
      </c>
      <c r="E18" s="57">
        <v>87.36</v>
      </c>
      <c r="F18" s="57">
        <f>E18*(F17/E17)</f>
        <v>89.124060042887791</v>
      </c>
      <c r="G18" s="2"/>
      <c r="H18" s="2"/>
    </row>
    <row r="19" spans="2:8" customFormat="1">
      <c r="B19" s="2"/>
      <c r="C19" s="217" t="s">
        <v>46</v>
      </c>
      <c r="D19" s="57" t="s">
        <v>47</v>
      </c>
      <c r="E19" s="57">
        <v>102.97</v>
      </c>
      <c r="F19" s="218">
        <f>E19*(F17/E17)</f>
        <v>105.04927269478199</v>
      </c>
      <c r="G19" s="2"/>
      <c r="H19" s="2"/>
    </row>
    <row r="20" spans="2:8" customFormat="1">
      <c r="B20" s="2"/>
      <c r="C20" s="278" t="s">
        <v>48</v>
      </c>
      <c r="D20" s="279"/>
      <c r="E20" s="279">
        <f>AVERAGE(E17:E19)</f>
        <v>100.75</v>
      </c>
      <c r="F20" s="279">
        <f>AVERAGE(F17:F19)</f>
        <v>102.78444424588993</v>
      </c>
      <c r="G20" s="2"/>
      <c r="H20" s="2"/>
    </row>
    <row r="21" spans="2:8" customFormat="1">
      <c r="B21" s="2"/>
      <c r="C21" s="241" t="s">
        <v>49</v>
      </c>
      <c r="D21" s="224"/>
      <c r="E21" s="224"/>
      <c r="F21" s="224"/>
    </row>
    <row r="22" spans="2:8" customFormat="1">
      <c r="B22" s="2"/>
      <c r="C22" s="223"/>
      <c r="D22" s="224"/>
      <c r="E22" s="38"/>
      <c r="F22" s="224"/>
    </row>
    <row r="23" spans="2:8" customFormat="1">
      <c r="B23" s="2"/>
      <c r="C23" s="2" t="s">
        <v>50</v>
      </c>
      <c r="D23" s="224"/>
      <c r="E23" s="224"/>
      <c r="F23" s="224"/>
    </row>
    <row r="24" spans="2:8" customFormat="1">
      <c r="B24" s="2"/>
      <c r="C24" s="2" t="s">
        <v>51</v>
      </c>
      <c r="D24" s="2"/>
      <c r="E24" s="2"/>
      <c r="F24" s="2"/>
    </row>
    <row r="25" spans="2:8" customFormat="1" ht="27" customHeight="1">
      <c r="B25" s="2"/>
      <c r="C25" s="2"/>
      <c r="D25" s="2"/>
      <c r="E25" s="2"/>
      <c r="F25" s="2"/>
    </row>
    <row r="26" spans="2:8" customFormat="1" ht="32.450000000000003" customHeight="1">
      <c r="B26" s="2"/>
      <c r="C26" s="472" t="s">
        <v>74</v>
      </c>
      <c r="D26" s="472"/>
      <c r="E26" s="472"/>
      <c r="F26" s="472"/>
    </row>
    <row r="27" spans="2:8" customFormat="1" ht="48" thickBot="1">
      <c r="B27" s="2"/>
      <c r="C27" s="473" t="s">
        <v>75</v>
      </c>
      <c r="D27" s="473"/>
      <c r="E27" s="473"/>
      <c r="F27" s="430" t="s">
        <v>76</v>
      </c>
    </row>
    <row r="28" spans="2:8" customFormat="1" ht="15.75">
      <c r="B28" s="2"/>
      <c r="C28" s="470" t="s">
        <v>77</v>
      </c>
      <c r="D28" s="470"/>
      <c r="E28" s="470"/>
      <c r="F28" s="225">
        <v>34.5</v>
      </c>
    </row>
    <row r="29" spans="2:8" customFormat="1" ht="15.75">
      <c r="B29" s="2"/>
      <c r="C29" s="470" t="s">
        <v>78</v>
      </c>
      <c r="D29" s="470"/>
      <c r="E29" s="470"/>
      <c r="F29" s="225">
        <v>35.200000000000003</v>
      </c>
    </row>
    <row r="30" spans="2:8" customFormat="1" ht="15.75">
      <c r="B30" s="2"/>
      <c r="C30" s="470" t="s">
        <v>79</v>
      </c>
      <c r="D30" s="470"/>
      <c r="E30" s="470"/>
      <c r="F30" s="225">
        <v>21.7</v>
      </c>
    </row>
    <row r="31" spans="2:8" customFormat="1" ht="15.75">
      <c r="B31" s="2"/>
      <c r="C31" s="470" t="s">
        <v>80</v>
      </c>
      <c r="D31" s="470"/>
      <c r="E31" s="470"/>
      <c r="F31" s="225">
        <v>31.6</v>
      </c>
    </row>
    <row r="32" spans="2:8" customFormat="1" ht="16.5" thickBot="1">
      <c r="B32" s="2"/>
      <c r="C32" s="470" t="s">
        <v>81</v>
      </c>
      <c r="D32" s="470"/>
      <c r="E32" s="470"/>
      <c r="F32" s="225">
        <v>66.7</v>
      </c>
    </row>
    <row r="33" spans="3:8" s="207" customFormat="1" ht="16.5" thickBot="1">
      <c r="C33" s="471" t="s">
        <v>48</v>
      </c>
      <c r="D33" s="471"/>
      <c r="E33" s="471"/>
      <c r="F33" s="226">
        <f>AVERAGE(F28:F32)</f>
        <v>37.94</v>
      </c>
      <c r="G33" s="65"/>
      <c r="H33" s="65"/>
    </row>
    <row r="34" spans="3:8" ht="18.600000000000001" customHeight="1" thickTop="1"/>
    <row r="35" spans="3:8" ht="25.5">
      <c r="C35" s="276" t="s">
        <v>82</v>
      </c>
      <c r="D35" s="277" t="s">
        <v>36</v>
      </c>
      <c r="E35" s="276" t="s">
        <v>83</v>
      </c>
      <c r="F35" s="276" t="s">
        <v>84</v>
      </c>
    </row>
    <row r="36" spans="3:8">
      <c r="C36" s="217" t="s">
        <v>42</v>
      </c>
      <c r="D36" s="57" t="s">
        <v>43</v>
      </c>
      <c r="E36" s="57">
        <v>0.52</v>
      </c>
      <c r="F36" s="57">
        <v>0.52</v>
      </c>
    </row>
    <row r="37" spans="3:8">
      <c r="C37" s="217" t="s">
        <v>44</v>
      </c>
      <c r="D37" s="57" t="s">
        <v>45</v>
      </c>
      <c r="E37" s="57">
        <v>1.08</v>
      </c>
      <c r="F37" s="57">
        <v>1.08</v>
      </c>
    </row>
    <row r="38" spans="3:8">
      <c r="C38" s="217" t="s">
        <v>46</v>
      </c>
      <c r="D38" s="57" t="s">
        <v>47</v>
      </c>
      <c r="E38" s="57">
        <v>0.63</v>
      </c>
      <c r="F38" s="218">
        <v>0.63</v>
      </c>
    </row>
    <row r="39" spans="3:8">
      <c r="C39" s="278" t="s">
        <v>48</v>
      </c>
      <c r="D39" s="279"/>
      <c r="E39" s="279">
        <f>AVERAGE(E36:E38)</f>
        <v>0.74333333333333329</v>
      </c>
      <c r="F39" s="279">
        <f>AVERAGE(F36:F38)</f>
        <v>0.74333333333333329</v>
      </c>
    </row>
    <row r="40" spans="3:8">
      <c r="C40" s="241" t="s">
        <v>49</v>
      </c>
    </row>
    <row r="42" spans="3:8">
      <c r="C42" s="2" t="s">
        <v>50</v>
      </c>
    </row>
    <row r="43" spans="3:8">
      <c r="C43" s="2" t="s">
        <v>51</v>
      </c>
    </row>
    <row r="45" spans="3:8" ht="52.15" customHeight="1">
      <c r="C45" s="461" t="s">
        <v>85</v>
      </c>
      <c r="D45" s="461"/>
      <c r="E45" s="461"/>
      <c r="F45" s="461"/>
    </row>
    <row r="46" spans="3:8" ht="6" customHeight="1"/>
    <row r="47" spans="3:8">
      <c r="C47" s="23" t="s">
        <v>86</v>
      </c>
      <c r="F47" s="221">
        <f>$F$20</f>
        <v>102.78444424588993</v>
      </c>
    </row>
    <row r="48" spans="3:8">
      <c r="C48" s="23" t="s">
        <v>87</v>
      </c>
      <c r="F48" s="281">
        <f>F49*F50</f>
        <v>28.202066666666664</v>
      </c>
    </row>
    <row r="49" spans="3:6">
      <c r="C49" s="280" t="s">
        <v>88</v>
      </c>
      <c r="F49" s="282">
        <f>$F$33</f>
        <v>37.94</v>
      </c>
    </row>
    <row r="50" spans="3:6">
      <c r="C50" s="280" t="s">
        <v>89</v>
      </c>
      <c r="F50" s="282">
        <f>$F$39</f>
        <v>0.74333333333333329</v>
      </c>
    </row>
    <row r="51" spans="3:6">
      <c r="C51" s="23" t="s">
        <v>57</v>
      </c>
      <c r="F51" s="222">
        <f>BDI_Geral!C20</f>
        <v>0.10289999999999999</v>
      </c>
    </row>
    <row r="52" spans="3:6" ht="6" customHeight="1"/>
    <row r="53" spans="3:6">
      <c r="C53" s="462" t="s">
        <v>90</v>
      </c>
      <c r="D53" s="462"/>
      <c r="E53" s="462"/>
      <c r="F53" s="212">
        <f>(F47+F48)*(1+F51)</f>
        <v>144.46502288545867</v>
      </c>
    </row>
    <row r="55" spans="3:6">
      <c r="C55" s="2" t="s">
        <v>91</v>
      </c>
    </row>
    <row r="56" spans="3:6">
      <c r="C56" s="2" t="s">
        <v>92</v>
      </c>
    </row>
  </sheetData>
  <mergeCells count="12">
    <mergeCell ref="C53:E53"/>
    <mergeCell ref="B1:G3"/>
    <mergeCell ref="B4:G14"/>
    <mergeCell ref="C32:E32"/>
    <mergeCell ref="C33:E33"/>
    <mergeCell ref="C26:F26"/>
    <mergeCell ref="C27:E27"/>
    <mergeCell ref="C28:E28"/>
    <mergeCell ref="C29:E29"/>
    <mergeCell ref="C31:E31"/>
    <mergeCell ref="C30:E30"/>
    <mergeCell ref="C45:F45"/>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7"/>
  <sheetViews>
    <sheetView showGridLines="0" zoomScaleNormal="100" workbookViewId="0">
      <selection activeCell="C21" sqref="C21"/>
    </sheetView>
  </sheetViews>
  <sheetFormatPr defaultColWidth="0" defaultRowHeight="15"/>
  <cols>
    <col min="1" max="1" width="1.7109375" style="2" customWidth="1"/>
    <col min="2" max="2" width="50" style="2" customWidth="1"/>
    <col min="3" max="3" width="16.7109375" style="2" customWidth="1"/>
    <col min="4" max="4" width="1.7109375" customWidth="1"/>
    <col min="5" max="5" width="9" style="2" customWidth="1"/>
    <col min="6" max="10" width="0" style="2" hidden="1" customWidth="1"/>
    <col min="11" max="16384" width="9.140625" style="2" hidden="1"/>
  </cols>
  <sheetData>
    <row r="1" spans="2:3" ht="19.899999999999999" customHeight="1"/>
    <row r="3" spans="2:3" ht="10.15" customHeight="1"/>
    <row r="4" spans="2:3">
      <c r="B4" s="466" t="s">
        <v>93</v>
      </c>
      <c r="C4" s="466"/>
    </row>
    <row r="5" spans="2:3">
      <c r="B5" s="466"/>
      <c r="C5" s="466"/>
    </row>
    <row r="7" spans="2:3">
      <c r="B7" s="469" t="s">
        <v>94</v>
      </c>
      <c r="C7" s="469"/>
    </row>
    <row r="8" spans="2:3">
      <c r="B8" s="469"/>
      <c r="C8" s="469"/>
    </row>
    <row r="9" spans="2:3">
      <c r="B9" s="469"/>
      <c r="C9" s="469"/>
    </row>
    <row r="10" spans="2:3">
      <c r="B10" s="469"/>
      <c r="C10" s="469"/>
    </row>
    <row r="11" spans="2:3">
      <c r="B11" s="469"/>
      <c r="C11" s="469"/>
    </row>
    <row r="12" spans="2:3">
      <c r="B12" s="469"/>
      <c r="C12" s="469"/>
    </row>
    <row r="13" spans="2:3">
      <c r="B13" s="469"/>
      <c r="C13" s="469"/>
    </row>
    <row r="14" spans="2:3">
      <c r="B14" s="469"/>
      <c r="C14" s="469"/>
    </row>
    <row r="15" spans="2:3">
      <c r="B15" s="469"/>
      <c r="C15" s="469"/>
    </row>
    <row r="16" spans="2:3">
      <c r="B16" s="469"/>
      <c r="C16" s="469"/>
    </row>
    <row r="17" spans="2:3" ht="18" customHeight="1"/>
    <row r="18" spans="2:3" ht="37.15" customHeight="1">
      <c r="B18" s="461" t="s">
        <v>95</v>
      </c>
      <c r="C18" s="461"/>
    </row>
    <row r="19" spans="2:3" ht="5.45" customHeight="1"/>
    <row r="20" spans="2:3">
      <c r="B20" s="474" t="s">
        <v>96</v>
      </c>
      <c r="C20" s="474"/>
    </row>
    <row r="21" spans="2:3" ht="5.45" customHeight="1"/>
    <row r="22" spans="2:3">
      <c r="B22" s="474" t="s">
        <v>97</v>
      </c>
      <c r="C22" s="474"/>
    </row>
    <row r="23" spans="2:3" ht="5.45" customHeight="1"/>
    <row r="24" spans="2:3">
      <c r="B24" s="23" t="s">
        <v>98</v>
      </c>
      <c r="C24" s="186">
        <f>SUM(C25:C26)</f>
        <v>19167954.149078388</v>
      </c>
    </row>
    <row r="25" spans="2:3">
      <c r="B25" s="309" t="s">
        <v>99</v>
      </c>
      <c r="C25" s="187">
        <f>'Custos diretos'!F31</f>
        <v>14996689.63468517</v>
      </c>
    </row>
    <row r="26" spans="2:3">
      <c r="B26" s="310" t="s">
        <v>100</v>
      </c>
      <c r="C26" s="188">
        <f>'Custos indiretos'!F24</f>
        <v>4171264.5143932179</v>
      </c>
    </row>
    <row r="27" spans="2:3">
      <c r="B27" s="20"/>
      <c r="C27" s="188"/>
    </row>
    <row r="28" spans="2:3">
      <c r="B28" s="23" t="s">
        <v>101</v>
      </c>
      <c r="C28" s="186">
        <f>SUM(C29:C30)</f>
        <v>6066283.2741931351</v>
      </c>
    </row>
    <row r="29" spans="2:3">
      <c r="B29" s="310" t="s">
        <v>102</v>
      </c>
      <c r="C29" s="188">
        <f>'Rem. Adequada'!D36</f>
        <v>2367205.6827321327</v>
      </c>
    </row>
    <row r="30" spans="2:3">
      <c r="B30" s="310" t="s">
        <v>103</v>
      </c>
      <c r="C30" s="189">
        <f>'Rem. Adequada'!D37</f>
        <v>3699077.5914610024</v>
      </c>
    </row>
    <row r="31" spans="2:3" ht="5.45" customHeight="1"/>
    <row r="32" spans="2:3">
      <c r="B32" s="246" t="s">
        <v>104</v>
      </c>
      <c r="C32" s="247">
        <f>SUM(C28+C24)</f>
        <v>25234237.423271522</v>
      </c>
    </row>
    <row r="33" spans="2:5" ht="5.45" customHeight="1"/>
    <row r="34" spans="2:5" ht="24.75" customHeight="1">
      <c r="B34" s="184" t="s">
        <v>105</v>
      </c>
      <c r="C34" s="183">
        <v>824652</v>
      </c>
    </row>
    <row r="35" spans="2:5" ht="5.45" customHeight="1"/>
    <row r="36" spans="2:5" s="207" customFormat="1">
      <c r="B36" t="s">
        <v>106</v>
      </c>
      <c r="C36" s="267">
        <v>44.93</v>
      </c>
      <c r="D36" s="65"/>
    </row>
    <row r="37" spans="2:5" s="207" customFormat="1">
      <c r="B37" s="311" t="s">
        <v>107</v>
      </c>
      <c r="C37" s="267">
        <f>'Provisões e Terreno'!E107</f>
        <v>15.696240193311331</v>
      </c>
      <c r="D37" s="65"/>
    </row>
    <row r="38" spans="2:5" s="207" customFormat="1" ht="30">
      <c r="B38" s="311" t="s">
        <v>108</v>
      </c>
      <c r="C38" s="267">
        <f>'Provisões e Terreno'!E52</f>
        <v>3.3097372035261339</v>
      </c>
      <c r="D38" s="65"/>
    </row>
    <row r="39" spans="2:5" s="207" customFormat="1" ht="30">
      <c r="B39" s="311" t="s">
        <v>109</v>
      </c>
      <c r="C39" s="267">
        <f>'Provisões e Terreno'!E85</f>
        <v>4.4338386371468577</v>
      </c>
      <c r="D39" s="65"/>
    </row>
    <row r="40" spans="2:5" ht="5.45" customHeight="1"/>
    <row r="41" spans="2:5" ht="15.75" thickBot="1">
      <c r="B41" s="245" t="s">
        <v>110</v>
      </c>
      <c r="C41" s="248">
        <f>(C32/C34)+C36+C37+C38+C39</f>
        <v>98.969678064600302</v>
      </c>
    </row>
    <row r="42" spans="2:5" ht="5.45" customHeight="1"/>
    <row r="43" spans="2:5">
      <c r="B43" s="211" t="s">
        <v>111</v>
      </c>
      <c r="C43" s="215">
        <v>0.05</v>
      </c>
    </row>
    <row r="44" spans="2:5" ht="5.45" customHeight="1"/>
    <row r="45" spans="2:5" ht="15.75" thickBot="1">
      <c r="B45" s="245" t="s">
        <v>112</v>
      </c>
      <c r="C45" s="212">
        <f>C41/(1-0.05)</f>
        <v>104.17860848905295</v>
      </c>
      <c r="E45" s="207"/>
    </row>
    <row r="46" spans="2:5">
      <c r="C46" s="445"/>
    </row>
    <row r="47" spans="2:5">
      <c r="B47"/>
    </row>
  </sheetData>
  <mergeCells count="5">
    <mergeCell ref="B20:C20"/>
    <mergeCell ref="B18:C18"/>
    <mergeCell ref="B22:C22"/>
    <mergeCell ref="B7:C16"/>
    <mergeCell ref="B4:C5"/>
  </mergeCells>
  <hyperlinks>
    <hyperlink ref="B25" location="'Custos diretos'!A1" display=". Custos Operacionais Diretos " xr:uid="{56647EB8-F5A3-4221-819A-564888CBF3FD}"/>
    <hyperlink ref="B26" location="'Custos indiretos'!A1" display=". Custos Operacionais Indiretos" xr:uid="{D7FCB623-46C6-44B8-8C9B-E39BB9F4C707}"/>
    <hyperlink ref="B29" location="'Rem. Adequada'!A1" display=". Remuneração dos Investimentos " xr:uid="{F388F6CD-3685-460C-A01D-1428150E4CE9}"/>
    <hyperlink ref="B30" location="'Rem. Adequada'!A1" display=". Quota de Reintegração do Capital" xr:uid="{ECEEB6F1-3E4D-4F1B-91BE-C6FB10AE3DA9}"/>
    <hyperlink ref="B37" location="'Provisões e Terreno'!A93" display="Custo Terreno (R$/t)" xr:uid="{C9E55606-8BBE-4AD1-B7A7-E3852B849CDD}"/>
    <hyperlink ref="B38" location="'Provisões e Terreno'!A1" display="Provisão para manutenção após fechamento (R$/t) - OM fechamento" xr:uid="{6C4325B4-2AE7-473C-B79E-CF9747C600C4}"/>
    <hyperlink ref="B39" location="'Provisões e Terreno'!A59" display="Provisão do tratamento do chorume (R$/t) - CHORUME fechamento" xr:uid="{A55AA1DD-16AC-4588-960D-82C4B5E8A73F}"/>
  </hyperlinks>
  <pageMargins left="0.511811024" right="0.511811024" top="0.78740157499999996" bottom="0.78740157499999996" header="0.31496062000000002" footer="0.31496062000000002"/>
  <pageSetup paperSize="9" orientation="portrait" r:id="rId1"/>
  <ignoredErrors>
    <ignoredError sqref="B41"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N37"/>
  <sheetViews>
    <sheetView showGridLines="0" topLeftCell="A2" zoomScaleNormal="100" workbookViewId="0">
      <selection activeCell="A38" sqref="A38"/>
    </sheetView>
  </sheetViews>
  <sheetFormatPr defaultColWidth="0" defaultRowHeight="15"/>
  <cols>
    <col min="1" max="1" width="3.5703125" customWidth="1"/>
    <col min="2" max="2" width="8.85546875" customWidth="1"/>
    <col min="3" max="3" width="3.5703125" customWidth="1"/>
    <col min="4" max="4" width="5.42578125" bestFit="1" customWidth="1"/>
    <col min="5" max="5" width="30.42578125" customWidth="1"/>
    <col min="6" max="6" width="16.28515625" customWidth="1"/>
    <col min="7" max="7" width="16.140625" style="203" customWidth="1"/>
    <col min="8" max="8" width="17" hidden="1" customWidth="1"/>
    <col min="9" max="9" width="33.5703125" hidden="1" customWidth="1"/>
    <col min="10" max="10" width="15.140625" hidden="1" customWidth="1"/>
    <col min="11" max="11" width="10.140625" hidden="1" customWidth="1"/>
    <col min="12" max="14" width="15.140625" hidden="1" customWidth="1"/>
    <col min="15" max="16384" width="8.85546875" hidden="1"/>
  </cols>
  <sheetData>
    <row r="2" spans="2:6" ht="14.45" customHeight="1">
      <c r="C2" s="466" t="s">
        <v>113</v>
      </c>
      <c r="D2" s="466"/>
      <c r="E2" s="466"/>
      <c r="F2" s="466"/>
    </row>
    <row r="3" spans="2:6" ht="14.45" customHeight="1">
      <c r="B3" s="312"/>
      <c r="C3" s="466"/>
      <c r="D3" s="466"/>
      <c r="E3" s="466"/>
      <c r="F3" s="466"/>
    </row>
    <row r="4" spans="2:6" ht="14.45" customHeight="1">
      <c r="B4" s="429"/>
      <c r="C4" s="429"/>
      <c r="D4" s="429"/>
      <c r="E4" s="429"/>
      <c r="F4" s="429"/>
    </row>
    <row r="5" spans="2:6" ht="14.45" customHeight="1">
      <c r="B5" s="429"/>
      <c r="C5" s="467" t="s">
        <v>114</v>
      </c>
      <c r="D5" s="479"/>
      <c r="E5" s="479"/>
      <c r="F5" s="479"/>
    </row>
    <row r="6" spans="2:6" ht="14.45" customHeight="1">
      <c r="B6" s="429"/>
      <c r="C6" s="479"/>
      <c r="D6" s="479"/>
      <c r="E6" s="479"/>
      <c r="F6" s="479"/>
    </row>
    <row r="7" spans="2:6" ht="14.45" customHeight="1">
      <c r="B7" s="429"/>
      <c r="C7" s="479"/>
      <c r="D7" s="479"/>
      <c r="E7" s="479"/>
      <c r="F7" s="479"/>
    </row>
    <row r="8" spans="2:6" ht="14.45" customHeight="1">
      <c r="B8" s="429"/>
      <c r="C8" s="479"/>
      <c r="D8" s="479"/>
      <c r="E8" s="479"/>
      <c r="F8" s="479"/>
    </row>
    <row r="9" spans="2:6" ht="14.45" customHeight="1">
      <c r="B9" s="429"/>
      <c r="C9" s="479"/>
      <c r="D9" s="479"/>
      <c r="E9" s="479"/>
      <c r="F9" s="479"/>
    </row>
    <row r="10" spans="2:6" ht="14.45" customHeight="1">
      <c r="B10" s="429"/>
      <c r="C10" s="479"/>
      <c r="D10" s="479"/>
      <c r="E10" s="479"/>
      <c r="F10" s="479"/>
    </row>
    <row r="11" spans="2:6" ht="14.45" customHeight="1">
      <c r="B11" s="429"/>
      <c r="C11" s="479"/>
      <c r="D11" s="479"/>
      <c r="E11" s="479"/>
      <c r="F11" s="479"/>
    </row>
    <row r="12" spans="2:6" ht="14.45" customHeight="1">
      <c r="B12" s="429"/>
      <c r="C12" s="479"/>
      <c r="D12" s="479"/>
      <c r="E12" s="479"/>
      <c r="F12" s="479"/>
    </row>
    <row r="13" spans="2:6" ht="14.45" customHeight="1">
      <c r="B13" s="429"/>
      <c r="C13" s="479"/>
      <c r="D13" s="479"/>
      <c r="E13" s="479"/>
      <c r="F13" s="479"/>
    </row>
    <row r="14" spans="2:6" ht="14.45" customHeight="1">
      <c r="B14" s="429"/>
      <c r="C14" s="479"/>
      <c r="D14" s="479"/>
      <c r="E14" s="479"/>
      <c r="F14" s="479"/>
    </row>
    <row r="15" spans="2:6" ht="14.45" customHeight="1">
      <c r="B15" s="429"/>
      <c r="C15" s="479"/>
      <c r="D15" s="479"/>
      <c r="E15" s="479"/>
      <c r="F15" s="479"/>
    </row>
    <row r="16" spans="2:6" ht="14.45" customHeight="1">
      <c r="B16" s="429"/>
      <c r="C16" s="479"/>
      <c r="D16" s="479"/>
      <c r="E16" s="479"/>
      <c r="F16" s="479"/>
    </row>
    <row r="17" spans="2:14" ht="14.45" customHeight="1">
      <c r="B17" s="429"/>
      <c r="C17" s="429"/>
      <c r="D17" s="429"/>
      <c r="E17" s="429"/>
      <c r="F17" s="429"/>
    </row>
    <row r="19" spans="2:14" ht="38.25" customHeight="1">
      <c r="D19" s="475" t="s">
        <v>115</v>
      </c>
      <c r="E19" s="475"/>
      <c r="F19" s="475"/>
    </row>
    <row r="20" spans="2:14">
      <c r="D20" s="124" t="s">
        <v>116</v>
      </c>
      <c r="E20" s="124" t="s">
        <v>117</v>
      </c>
      <c r="F20" s="125" t="s">
        <v>118</v>
      </c>
    </row>
    <row r="21" spans="2:14">
      <c r="D21" s="135">
        <v>1</v>
      </c>
      <c r="E21" s="44" t="s">
        <v>119</v>
      </c>
      <c r="F21" s="47">
        <v>1271394.605</v>
      </c>
    </row>
    <row r="22" spans="2:14">
      <c r="D22" s="135">
        <v>2</v>
      </c>
      <c r="E22" s="49" t="s">
        <v>120</v>
      </c>
      <c r="F22" s="47">
        <v>443372.755</v>
      </c>
    </row>
    <row r="23" spans="2:14">
      <c r="D23" s="135">
        <v>3</v>
      </c>
      <c r="E23" s="49" t="s">
        <v>121</v>
      </c>
      <c r="F23" s="47">
        <f>76077.72*12</f>
        <v>912932.64</v>
      </c>
    </row>
    <row r="24" spans="2:14">
      <c r="D24" s="135">
        <v>4</v>
      </c>
      <c r="E24" s="45" t="s">
        <v>122</v>
      </c>
      <c r="F24" s="47">
        <v>56874.9</v>
      </c>
      <c r="G24" s="202"/>
    </row>
    <row r="25" spans="2:14">
      <c r="D25" s="135">
        <v>5</v>
      </c>
      <c r="E25" s="45" t="s">
        <v>123</v>
      </c>
      <c r="F25" s="153">
        <v>180413.14</v>
      </c>
      <c r="G25" s="202"/>
      <c r="I25" s="75"/>
    </row>
    <row r="26" spans="2:14">
      <c r="D26" s="135">
        <v>6</v>
      </c>
      <c r="E26" s="45" t="s">
        <v>124</v>
      </c>
      <c r="F26" s="47">
        <v>37922.76</v>
      </c>
      <c r="G26" s="204"/>
    </row>
    <row r="27" spans="2:14">
      <c r="D27" s="135">
        <v>7</v>
      </c>
      <c r="E27" s="45" t="s">
        <v>125</v>
      </c>
      <c r="F27" s="47">
        <v>15908.04</v>
      </c>
      <c r="G27" s="204"/>
    </row>
    <row r="28" spans="2:14">
      <c r="D28" s="135">
        <v>8</v>
      </c>
      <c r="E28" s="352" t="s">
        <v>126</v>
      </c>
      <c r="F28" s="46">
        <f>'Estação de Trabalho'!H76</f>
        <v>36728.232627023601</v>
      </c>
    </row>
    <row r="29" spans="2:14">
      <c r="D29" s="135">
        <v>9</v>
      </c>
      <c r="E29" s="352" t="s">
        <v>127</v>
      </c>
      <c r="F29" s="46">
        <f>'Estação de Trabalho'!G76</f>
        <v>6138.8020581464389</v>
      </c>
      <c r="J29" s="75"/>
      <c r="N29" s="75"/>
    </row>
    <row r="30" spans="2:14">
      <c r="D30" s="135">
        <v>10</v>
      </c>
      <c r="E30" s="49" t="s">
        <v>128</v>
      </c>
      <c r="F30" s="46">
        <v>12035003.76</v>
      </c>
      <c r="M30" s="75"/>
      <c r="N30" s="74"/>
    </row>
    <row r="31" spans="2:14" ht="15" customHeight="1">
      <c r="D31" s="476" t="s">
        <v>129</v>
      </c>
      <c r="E31" s="477"/>
      <c r="F31" s="127">
        <f>SUM(F21:F30)</f>
        <v>14996689.63468517</v>
      </c>
      <c r="J31" s="152"/>
      <c r="K31" s="152"/>
      <c r="L31" s="152"/>
      <c r="M31" s="152"/>
      <c r="N31" s="152"/>
    </row>
    <row r="32" spans="2:14">
      <c r="D32" s="478" t="s">
        <v>130</v>
      </c>
      <c r="E32" s="478"/>
      <c r="F32" s="478"/>
      <c r="J32" s="152"/>
      <c r="K32" s="152"/>
      <c r="L32" s="152"/>
      <c r="M32" s="152"/>
      <c r="N32" s="152"/>
    </row>
    <row r="33" spans="4:14">
      <c r="D33" s="469"/>
      <c r="E33" s="469"/>
      <c r="F33" s="469"/>
      <c r="J33" s="152"/>
      <c r="K33" s="152"/>
      <c r="L33" s="152"/>
      <c r="M33" s="152"/>
      <c r="N33" s="152"/>
    </row>
    <row r="34" spans="4:14">
      <c r="D34" s="126"/>
      <c r="E34" s="123"/>
      <c r="F34" s="122"/>
      <c r="G34" s="205"/>
      <c r="J34" s="152"/>
      <c r="K34" s="152"/>
      <c r="L34" s="152"/>
      <c r="M34" s="152"/>
      <c r="N34" s="152"/>
    </row>
    <row r="35" spans="4:14">
      <c r="D35" s="126"/>
      <c r="E35" s="123"/>
      <c r="F35" s="122"/>
      <c r="H35" s="75"/>
      <c r="I35" s="81"/>
      <c r="J35" s="152"/>
      <c r="K35" s="152"/>
      <c r="L35" s="152"/>
      <c r="M35" s="152"/>
      <c r="N35" s="152"/>
    </row>
    <row r="36" spans="4:14">
      <c r="D36" s="126"/>
      <c r="E36" s="123"/>
      <c r="F36" s="122"/>
      <c r="I36" s="74"/>
    </row>
    <row r="37" spans="4:14">
      <c r="D37" s="126"/>
      <c r="E37" s="123"/>
      <c r="F37" s="122"/>
      <c r="I37" s="74"/>
      <c r="J37" s="75"/>
    </row>
  </sheetData>
  <mergeCells count="5">
    <mergeCell ref="C2:F3"/>
    <mergeCell ref="D19:F19"/>
    <mergeCell ref="D31:E31"/>
    <mergeCell ref="D32:F33"/>
    <mergeCell ref="C5:F16"/>
  </mergeCells>
  <hyperlinks>
    <hyperlink ref="E28" location="'Estação de Trabalho'!A1" display="Estação de trabalho padrão" xr:uid="{6E67FEEF-BFB8-4A80-B8B0-BF4062FAAA8E}"/>
    <hyperlink ref="E29" location="'Estação de Trabalho'!A1" display="Estação de trabalho diretor " xr:uid="{C0462103-AE18-4ECC-AB99-A1F9DF0AA02A}"/>
  </hyperlink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J42"/>
  <sheetViews>
    <sheetView showGridLines="0" zoomScaleNormal="100" workbookViewId="0"/>
  </sheetViews>
  <sheetFormatPr defaultColWidth="0" defaultRowHeight="15"/>
  <cols>
    <col min="1" max="1" width="8.85546875" customWidth="1"/>
    <col min="2" max="2" width="3.5703125" customWidth="1"/>
    <col min="3" max="3" width="8.5703125" customWidth="1"/>
    <col min="4" max="4" width="30.140625" customWidth="1"/>
    <col min="5" max="5" width="17.85546875" bestFit="1" customWidth="1"/>
    <col min="6" max="6" width="16.42578125" customWidth="1"/>
    <col min="7" max="7" width="1.5703125" customWidth="1"/>
    <col min="8" max="8" width="13.28515625" bestFit="1" customWidth="1"/>
    <col min="9" max="9" width="18.7109375" hidden="1" customWidth="1"/>
    <col min="10" max="10" width="53.140625" hidden="1" customWidth="1"/>
    <col min="11" max="16384" width="8.85546875" hidden="1"/>
  </cols>
  <sheetData>
    <row r="2" spans="3:6">
      <c r="C2" s="466" t="s">
        <v>131</v>
      </c>
      <c r="D2" s="466"/>
      <c r="E2" s="466"/>
      <c r="F2" s="466"/>
    </row>
    <row r="3" spans="3:6" ht="15.75" customHeight="1">
      <c r="C3" s="466"/>
      <c r="D3" s="466"/>
      <c r="E3" s="466"/>
      <c r="F3" s="466"/>
    </row>
    <row r="4" spans="3:6" ht="15.75" customHeight="1">
      <c r="C4" s="316"/>
      <c r="D4" s="316"/>
      <c r="E4" s="316"/>
    </row>
    <row r="5" spans="3:6">
      <c r="C5" s="485" t="s">
        <v>132</v>
      </c>
      <c r="D5" s="485"/>
      <c r="E5" s="485"/>
      <c r="F5" s="485"/>
    </row>
    <row r="6" spans="3:6">
      <c r="C6" s="485"/>
      <c r="D6" s="485"/>
      <c r="E6" s="485"/>
      <c r="F6" s="485"/>
    </row>
    <row r="7" spans="3:6">
      <c r="C7" s="485"/>
      <c r="D7" s="485"/>
      <c r="E7" s="485"/>
      <c r="F7" s="485"/>
    </row>
    <row r="8" spans="3:6">
      <c r="C8" s="485"/>
      <c r="D8" s="485"/>
      <c r="E8" s="485"/>
      <c r="F8" s="485"/>
    </row>
    <row r="9" spans="3:6">
      <c r="C9" s="485"/>
      <c r="D9" s="485"/>
      <c r="E9" s="485"/>
      <c r="F9" s="485"/>
    </row>
    <row r="10" spans="3:6">
      <c r="C10" s="485"/>
      <c r="D10" s="485"/>
      <c r="E10" s="485"/>
      <c r="F10" s="485"/>
    </row>
    <row r="11" spans="3:6">
      <c r="C11" s="485"/>
      <c r="D11" s="485"/>
      <c r="E11" s="485"/>
      <c r="F11" s="485"/>
    </row>
    <row r="12" spans="3:6">
      <c r="C12" s="485"/>
      <c r="D12" s="485"/>
      <c r="E12" s="485"/>
      <c r="F12" s="485"/>
    </row>
    <row r="13" spans="3:6">
      <c r="C13" s="485"/>
      <c r="D13" s="485"/>
      <c r="E13" s="485"/>
      <c r="F13" s="485"/>
    </row>
    <row r="14" spans="3:6">
      <c r="C14" s="485"/>
      <c r="D14" s="485"/>
      <c r="E14" s="485"/>
      <c r="F14" s="485"/>
    </row>
    <row r="15" spans="3:6">
      <c r="C15" s="485"/>
      <c r="D15" s="485"/>
      <c r="E15" s="485"/>
      <c r="F15" s="485"/>
    </row>
    <row r="16" spans="3:6">
      <c r="C16" s="314"/>
      <c r="D16" s="314"/>
      <c r="E16" s="315"/>
    </row>
    <row r="17" spans="3:10" ht="15.75">
      <c r="C17" s="32"/>
      <c r="D17" s="483" t="s">
        <v>133</v>
      </c>
      <c r="E17" s="484">
        <f>'Despesa com pessoal'!G22</f>
        <v>0.14595588235294119</v>
      </c>
    </row>
    <row r="18" spans="3:10" ht="15.75">
      <c r="C18" s="32"/>
      <c r="D18" s="483"/>
      <c r="E18" s="484"/>
    </row>
    <row r="19" spans="3:10" ht="14.45" customHeight="1">
      <c r="D19" s="483"/>
      <c r="E19" s="484"/>
      <c r="I19" s="48"/>
      <c r="J19" s="48"/>
    </row>
    <row r="20" spans="3:10">
      <c r="I20" s="48"/>
      <c r="J20" s="48"/>
    </row>
    <row r="21" spans="3:10" ht="15" customHeight="1">
      <c r="I21" s="48"/>
      <c r="J21" s="48"/>
    </row>
    <row r="22" spans="3:10" ht="15" customHeight="1">
      <c r="C22" s="480" t="s">
        <v>134</v>
      </c>
      <c r="D22" s="481"/>
      <c r="E22" s="481"/>
      <c r="F22" s="482"/>
      <c r="I22" s="48"/>
      <c r="J22" s="48"/>
    </row>
    <row r="23" spans="3:10" ht="15" customHeight="1">
      <c r="C23" s="115" t="s">
        <v>116</v>
      </c>
      <c r="D23" s="108" t="s">
        <v>117</v>
      </c>
      <c r="E23" s="108" t="s">
        <v>135</v>
      </c>
      <c r="F23" s="109" t="s">
        <v>136</v>
      </c>
      <c r="I23" s="318"/>
      <c r="J23" s="319"/>
    </row>
    <row r="24" spans="3:10">
      <c r="C24" s="110">
        <v>1</v>
      </c>
      <c r="D24" s="116" t="s">
        <v>64</v>
      </c>
      <c r="E24" s="117">
        <f>SUM(E25:E39)</f>
        <v>28578940.75352532</v>
      </c>
      <c r="F24" s="120">
        <f>SUM(F25:F39)</f>
        <v>4171264.5143932179</v>
      </c>
      <c r="I24" s="48"/>
      <c r="J24" s="48"/>
    </row>
    <row r="25" spans="3:10">
      <c r="C25" s="118" t="s">
        <v>137</v>
      </c>
      <c r="D25" s="111" t="s">
        <v>119</v>
      </c>
      <c r="E25" s="119">
        <v>21549456.170000002</v>
      </c>
      <c r="F25" s="119">
        <f t="shared" ref="F25:F39" si="0">E25*$E$17</f>
        <v>3145269.889518383</v>
      </c>
      <c r="G25" s="65"/>
      <c r="I25" s="48"/>
      <c r="J25" s="48"/>
    </row>
    <row r="26" spans="3:10">
      <c r="C26" s="118" t="s">
        <v>138</v>
      </c>
      <c r="D26" s="112" t="s">
        <v>139</v>
      </c>
      <c r="E26" s="119">
        <v>4247496.84</v>
      </c>
      <c r="F26" s="119">
        <f t="shared" si="0"/>
        <v>619947.14907352941</v>
      </c>
      <c r="G26" s="65"/>
      <c r="I26" s="48"/>
      <c r="J26" s="48"/>
    </row>
    <row r="27" spans="3:10">
      <c r="C27" s="118" t="s">
        <v>140</v>
      </c>
      <c r="D27" s="112" t="s">
        <v>141</v>
      </c>
      <c r="E27" s="119">
        <v>156268.20000000001</v>
      </c>
      <c r="F27" s="119">
        <f t="shared" si="0"/>
        <v>22808.263014705884</v>
      </c>
      <c r="G27" s="65"/>
      <c r="I27" s="48"/>
      <c r="J27" s="48"/>
    </row>
    <row r="28" spans="3:10">
      <c r="C28" s="118" t="s">
        <v>142</v>
      </c>
      <c r="D28" s="112" t="s">
        <v>143</v>
      </c>
      <c r="E28" s="119">
        <v>215046</v>
      </c>
      <c r="F28" s="119">
        <f t="shared" si="0"/>
        <v>31387.22867647059</v>
      </c>
      <c r="G28" s="65"/>
      <c r="I28" s="48"/>
      <c r="J28" s="48"/>
    </row>
    <row r="29" spans="3:10">
      <c r="C29" s="118" t="s">
        <v>144</v>
      </c>
      <c r="D29" s="112" t="s">
        <v>145</v>
      </c>
      <c r="E29" s="119">
        <v>97301.380000000048</v>
      </c>
      <c r="F29" s="119">
        <f t="shared" si="0"/>
        <v>14201.708772058832</v>
      </c>
      <c r="G29" s="65"/>
      <c r="I29" s="48"/>
      <c r="J29" s="48"/>
    </row>
    <row r="30" spans="3:10">
      <c r="C30" s="118" t="s">
        <v>146</v>
      </c>
      <c r="D30" s="112" t="s">
        <v>147</v>
      </c>
      <c r="E30" s="119">
        <v>22713.24</v>
      </c>
      <c r="F30" s="119">
        <f t="shared" si="0"/>
        <v>3315.1309852941181</v>
      </c>
      <c r="G30" s="65"/>
      <c r="I30" s="48"/>
      <c r="J30" s="48"/>
    </row>
    <row r="31" spans="3:10">
      <c r="C31" s="118" t="s">
        <v>148</v>
      </c>
      <c r="D31" s="112" t="s">
        <v>149</v>
      </c>
      <c r="E31" s="119">
        <v>184558.25</v>
      </c>
      <c r="F31" s="119">
        <f t="shared" si="0"/>
        <v>26937.362224264707</v>
      </c>
      <c r="G31" s="65"/>
      <c r="J31" s="48"/>
    </row>
    <row r="32" spans="3:10" ht="15" customHeight="1">
      <c r="C32" s="118" t="s">
        <v>150</v>
      </c>
      <c r="D32" s="112" t="s">
        <v>151</v>
      </c>
      <c r="E32" s="119">
        <f>74095.95*(95/146)</f>
        <v>48213.118150684932</v>
      </c>
      <c r="F32" s="119">
        <f t="shared" si="0"/>
        <v>7036.9882006698235</v>
      </c>
      <c r="G32" s="65"/>
      <c r="I32" s="48"/>
      <c r="J32" s="203"/>
    </row>
    <row r="33" spans="3:10">
      <c r="C33" s="118" t="s">
        <v>152</v>
      </c>
      <c r="D33" s="112" t="s">
        <v>153</v>
      </c>
      <c r="E33" s="119">
        <v>1379231.64</v>
      </c>
      <c r="F33" s="119">
        <f t="shared" si="0"/>
        <v>201306.97098529412</v>
      </c>
      <c r="G33" s="65"/>
      <c r="J33" s="48"/>
    </row>
    <row r="34" spans="3:10">
      <c r="C34" s="118" t="s">
        <v>154</v>
      </c>
      <c r="D34" s="112" t="s">
        <v>155</v>
      </c>
      <c r="E34" s="119">
        <v>291934.56</v>
      </c>
      <c r="F34" s="119">
        <f t="shared" si="0"/>
        <v>42609.566294117649</v>
      </c>
      <c r="G34" s="65"/>
      <c r="J34" s="48"/>
    </row>
    <row r="35" spans="3:10">
      <c r="C35" s="118" t="s">
        <v>156</v>
      </c>
      <c r="D35" s="112" t="s">
        <v>157</v>
      </c>
      <c r="E35" s="119">
        <v>50988.12</v>
      </c>
      <c r="F35" s="119">
        <f t="shared" si="0"/>
        <v>7442.0160441176477</v>
      </c>
      <c r="G35" s="65"/>
      <c r="I35" s="48"/>
      <c r="J35" s="48"/>
    </row>
    <row r="36" spans="3:10">
      <c r="C36" s="118" t="s">
        <v>158</v>
      </c>
      <c r="D36" s="112" t="s">
        <v>159</v>
      </c>
      <c r="E36" s="119">
        <v>118800</v>
      </c>
      <c r="F36" s="119">
        <f t="shared" si="0"/>
        <v>17339.558823529413</v>
      </c>
      <c r="I36" s="48"/>
      <c r="J36" s="48"/>
    </row>
    <row r="37" spans="3:10">
      <c r="C37" s="118" t="s">
        <v>160</v>
      </c>
      <c r="D37" s="112" t="s">
        <v>161</v>
      </c>
      <c r="E37" s="119">
        <v>2816.94</v>
      </c>
      <c r="F37" s="119">
        <f t="shared" si="0"/>
        <v>411.14896323529416</v>
      </c>
      <c r="I37" s="48"/>
      <c r="J37" s="48"/>
    </row>
    <row r="38" spans="3:10">
      <c r="C38" s="118" t="s">
        <v>162</v>
      </c>
      <c r="D38" s="353" t="s">
        <v>163</v>
      </c>
      <c r="E38" s="159">
        <f>'Estação de Trabalho'!I76</f>
        <v>42238.62311650013</v>
      </c>
      <c r="F38" s="119">
        <f t="shared" si="0"/>
        <v>6164.9755063421153</v>
      </c>
      <c r="I38" s="48"/>
      <c r="J38" s="48"/>
    </row>
    <row r="39" spans="3:10" ht="15" customHeight="1">
      <c r="C39" s="118" t="s">
        <v>164</v>
      </c>
      <c r="D39" s="353" t="s">
        <v>165</v>
      </c>
      <c r="E39" s="181">
        <f>'Estação de Trabalho'!J76</f>
        <v>171877.67225813537</v>
      </c>
      <c r="F39" s="119">
        <f t="shared" si="0"/>
        <v>25086.55731120579</v>
      </c>
      <c r="J39" s="48"/>
    </row>
    <row r="40" spans="3:10" ht="14.45" customHeight="1">
      <c r="C40" s="478" t="s">
        <v>166</v>
      </c>
      <c r="D40" s="478"/>
      <c r="E40" s="478"/>
      <c r="F40" s="478"/>
      <c r="I40" s="48"/>
      <c r="J40" s="48"/>
    </row>
    <row r="41" spans="3:10" ht="15.75">
      <c r="E41" s="313"/>
    </row>
    <row r="42" spans="3:10">
      <c r="C42" s="320" t="s">
        <v>167</v>
      </c>
    </row>
  </sheetData>
  <mergeCells count="6">
    <mergeCell ref="C22:F22"/>
    <mergeCell ref="D17:D19"/>
    <mergeCell ref="E17:E19"/>
    <mergeCell ref="C2:F3"/>
    <mergeCell ref="C40:F40"/>
    <mergeCell ref="C5:F15"/>
  </mergeCells>
  <hyperlinks>
    <hyperlink ref="D17:D19" location="'Despesa com pessoal'!A1" display="Critério de Rateio - % Pessoal alocado no serviço de Disposição Final do Aterro" xr:uid="{73EEAE6F-D6C5-43A8-AC0B-412A0E864B4F}"/>
    <hyperlink ref="D38" location="'Estação de Trabalho'!A1" display="Estação de Trabalho - Diretor " xr:uid="{58D450BB-D451-4239-B064-342D87BFEA0A}"/>
    <hyperlink ref="D39" location="'Estação de Trabalho'!A1" display="Estação de Trabalho - Padrão" xr:uid="{823FFE4B-8856-47C0-A736-9EA51F96D50F}"/>
  </hyperlinks>
  <pageMargins left="0.511811024" right="0.511811024" top="0.78740157499999996" bottom="0.78740157499999996" header="0.31496062000000002" footer="0.31496062000000002"/>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BC8AF-D78B-4937-B2BF-0D4F4ABA1A2A}">
  <sheetPr codeName="Sheet28">
    <pageSetUpPr fitToPage="1"/>
  </sheetPr>
  <dimension ref="A1:Y94"/>
  <sheetViews>
    <sheetView showGridLines="0" zoomScaleNormal="100" workbookViewId="0">
      <selection activeCell="H33" sqref="H33"/>
    </sheetView>
  </sheetViews>
  <sheetFormatPr defaultColWidth="0" defaultRowHeight="12.75"/>
  <cols>
    <col min="1" max="1" width="4.140625" style="3" customWidth="1"/>
    <col min="2" max="2" width="43.42578125" style="3" customWidth="1"/>
    <col min="3" max="3" width="11.140625" style="4" customWidth="1"/>
    <col min="4" max="4" width="13.85546875" style="67" customWidth="1"/>
    <col min="5" max="5" width="14.140625" style="4" customWidth="1"/>
    <col min="6" max="6" width="14.5703125" style="4" customWidth="1"/>
    <col min="7" max="8" width="14.140625" style="4" customWidth="1"/>
    <col min="9" max="9" width="13.140625" style="3" hidden="1" customWidth="1"/>
    <col min="10" max="10" width="18.5703125" style="3" hidden="1" customWidth="1"/>
    <col min="11" max="11" width="19.140625" style="3" hidden="1" customWidth="1"/>
    <col min="12" max="12" width="14" style="3" hidden="1" customWidth="1"/>
    <col min="13" max="13" width="12.85546875" style="3" hidden="1" customWidth="1"/>
    <col min="14" max="15" width="9.140625" style="3" hidden="1" customWidth="1"/>
    <col min="16" max="16" width="5.28515625" style="3" hidden="1" customWidth="1"/>
    <col min="17" max="19" width="9.140625" style="3" hidden="1" customWidth="1"/>
    <col min="20" max="20" width="29.140625" style="3" hidden="1" customWidth="1"/>
    <col min="21" max="21" width="14.42578125" style="3" hidden="1" customWidth="1"/>
    <col min="22" max="22" width="14.85546875" style="3" hidden="1" customWidth="1"/>
    <col min="23" max="23" width="9.140625" style="3" hidden="1" customWidth="1"/>
    <col min="24" max="24" width="14.42578125" style="3" hidden="1" customWidth="1"/>
    <col min="25" max="25" width="12.5703125" style="3" hidden="1" customWidth="1"/>
    <col min="26" max="16384" width="9.140625" style="3" hidden="1"/>
  </cols>
  <sheetData>
    <row r="1" spans="2:8">
      <c r="C1" s="432"/>
      <c r="E1" s="432"/>
      <c r="F1" s="432"/>
      <c r="G1" s="432"/>
      <c r="H1" s="432"/>
    </row>
    <row r="2" spans="2:8">
      <c r="C2" s="432"/>
      <c r="E2" s="432"/>
      <c r="F2" s="432"/>
      <c r="G2" s="432"/>
      <c r="H2" s="432"/>
    </row>
    <row r="3" spans="2:8">
      <c r="C3" s="432"/>
      <c r="E3" s="432"/>
      <c r="F3" s="432"/>
      <c r="G3" s="432"/>
      <c r="H3" s="432"/>
    </row>
    <row r="4" spans="2:8">
      <c r="C4" s="432"/>
      <c r="E4" s="432"/>
      <c r="F4" s="432"/>
      <c r="G4" s="432"/>
      <c r="H4" s="432"/>
    </row>
    <row r="5" spans="2:8" ht="13.15" customHeight="1">
      <c r="B5" s="466" t="s">
        <v>168</v>
      </c>
      <c r="C5" s="466"/>
      <c r="D5" s="466"/>
      <c r="E5" s="466"/>
      <c r="F5" s="466"/>
      <c r="G5" s="466"/>
      <c r="H5" s="432"/>
    </row>
    <row r="6" spans="2:8" ht="13.15" customHeight="1">
      <c r="B6" s="466"/>
      <c r="C6" s="466"/>
      <c r="D6" s="466"/>
      <c r="E6" s="466"/>
      <c r="F6" s="466"/>
      <c r="G6" s="466"/>
      <c r="H6" s="432"/>
    </row>
    <row r="7" spans="2:8">
      <c r="C7" s="432"/>
      <c r="E7" s="432"/>
      <c r="F7" s="432"/>
      <c r="G7" s="432"/>
      <c r="H7" s="432"/>
    </row>
    <row r="8" spans="2:8">
      <c r="B8" s="452" t="s">
        <v>169</v>
      </c>
      <c r="C8" s="487"/>
      <c r="D8" s="487"/>
      <c r="E8" s="487"/>
      <c r="F8" s="487"/>
      <c r="G8" s="487"/>
      <c r="H8" s="432"/>
    </row>
    <row r="9" spans="2:8">
      <c r="B9" s="487"/>
      <c r="C9" s="487"/>
      <c r="D9" s="487"/>
      <c r="E9" s="487"/>
      <c r="F9" s="487"/>
      <c r="G9" s="487"/>
      <c r="H9" s="432"/>
    </row>
    <row r="10" spans="2:8">
      <c r="B10" s="487"/>
      <c r="C10" s="487"/>
      <c r="D10" s="487"/>
      <c r="E10" s="487"/>
      <c r="F10" s="487"/>
      <c r="G10" s="487"/>
      <c r="H10" s="432"/>
    </row>
    <row r="11" spans="2:8">
      <c r="B11" s="487"/>
      <c r="C11" s="487"/>
      <c r="D11" s="487"/>
      <c r="E11" s="487"/>
      <c r="F11" s="487"/>
      <c r="G11" s="487"/>
      <c r="H11" s="432"/>
    </row>
    <row r="12" spans="2:8">
      <c r="B12" s="487"/>
      <c r="C12" s="487"/>
      <c r="D12" s="487"/>
      <c r="E12" s="487"/>
      <c r="F12" s="487"/>
      <c r="G12" s="487"/>
      <c r="H12" s="432"/>
    </row>
    <row r="13" spans="2:8">
      <c r="B13" s="487"/>
      <c r="C13" s="487"/>
      <c r="D13" s="487"/>
      <c r="E13" s="487"/>
      <c r="F13" s="487"/>
      <c r="G13" s="487"/>
      <c r="H13" s="432"/>
    </row>
    <row r="14" spans="2:8">
      <c r="B14" s="487"/>
      <c r="C14" s="487"/>
      <c r="D14" s="487"/>
      <c r="E14" s="487"/>
      <c r="F14" s="487"/>
      <c r="G14" s="487"/>
      <c r="H14" s="432"/>
    </row>
    <row r="15" spans="2:8">
      <c r="B15" s="487"/>
      <c r="C15" s="487"/>
      <c r="D15" s="487"/>
      <c r="E15" s="487"/>
      <c r="F15" s="487"/>
      <c r="G15" s="487"/>
      <c r="H15" s="432"/>
    </row>
    <row r="16" spans="2:8">
      <c r="B16" s="487"/>
      <c r="C16" s="487"/>
      <c r="D16" s="487"/>
      <c r="E16" s="487"/>
      <c r="F16" s="487"/>
      <c r="G16" s="487"/>
      <c r="H16" s="432"/>
    </row>
    <row r="17" spans="2:8">
      <c r="C17" s="432"/>
      <c r="E17" s="432"/>
      <c r="F17" s="432"/>
      <c r="G17" s="432"/>
      <c r="H17" s="432"/>
    </row>
    <row r="18" spans="2:8">
      <c r="C18" s="432"/>
      <c r="E18" s="432"/>
      <c r="F18" s="432"/>
      <c r="G18" s="432"/>
      <c r="H18" s="432"/>
    </row>
    <row r="19" spans="2:8" ht="38.25">
      <c r="B19" s="283" t="s">
        <v>170</v>
      </c>
      <c r="C19" s="283" t="s">
        <v>171</v>
      </c>
      <c r="D19" s="283" t="s">
        <v>172</v>
      </c>
      <c r="E19" s="283" t="s">
        <v>173</v>
      </c>
      <c r="F19" s="105" t="s">
        <v>174</v>
      </c>
      <c r="G19" s="283" t="s">
        <v>175</v>
      </c>
      <c r="H19" s="432"/>
    </row>
    <row r="20" spans="2:8">
      <c r="B20" s="435" t="s">
        <v>176</v>
      </c>
      <c r="C20" s="435" t="s">
        <v>177</v>
      </c>
      <c r="D20" s="435">
        <f>SUMIF(G39:G93,"",C$39:C$93)</f>
        <v>52</v>
      </c>
      <c r="E20" s="435" t="s">
        <v>177</v>
      </c>
      <c r="F20" s="106">
        <v>0</v>
      </c>
      <c r="G20" s="113"/>
      <c r="H20" s="432"/>
    </row>
    <row r="21" spans="2:8">
      <c r="B21" s="435" t="s">
        <v>178</v>
      </c>
      <c r="C21" s="435">
        <v>4</v>
      </c>
      <c r="D21" s="435">
        <f>SUMIFS(C39:C93,D39:D93,"Coleta e Transporte",E39:E93,"Serviços de Asseio",F39:F93,"Tratamento",G39:G93,"Disposição Final")</f>
        <v>209</v>
      </c>
      <c r="E21" s="107">
        <f>D21/C21</f>
        <v>52.25</v>
      </c>
      <c r="F21" s="107">
        <f>E21/2</f>
        <v>26.125</v>
      </c>
      <c r="G21" s="113"/>
      <c r="H21" s="329"/>
    </row>
    <row r="22" spans="2:8">
      <c r="B22" s="435" t="s">
        <v>179</v>
      </c>
      <c r="C22" s="435">
        <v>1</v>
      </c>
      <c r="D22" s="435">
        <f>SUMIFS(C39:C93,D39:D93,"",E39:E93,"",F39:F93,"",G39:G93,"Disposição Final")</f>
        <v>27</v>
      </c>
      <c r="E22" s="107">
        <f t="shared" ref="E22:E24" si="0">D22/C22</f>
        <v>27</v>
      </c>
      <c r="F22" s="107">
        <f t="shared" ref="F22:F24" si="1">E22/2</f>
        <v>13.5</v>
      </c>
      <c r="G22" s="121">
        <f>F25/D25</f>
        <v>0.14595588235294119</v>
      </c>
      <c r="H22" s="329"/>
    </row>
    <row r="23" spans="2:8">
      <c r="B23" s="435" t="s">
        <v>180</v>
      </c>
      <c r="C23" s="435">
        <v>3</v>
      </c>
      <c r="D23" s="435">
        <f>SUMIFS(C39:C93,D39:D93,"Coleta e Transporte",E39:E93,"",F39:F93,"Tratamento",G39:G93,"Disposição Final")</f>
        <v>36</v>
      </c>
      <c r="E23" s="107">
        <f t="shared" si="0"/>
        <v>12</v>
      </c>
      <c r="F23" s="107">
        <f t="shared" si="1"/>
        <v>6</v>
      </c>
      <c r="G23" s="113"/>
      <c r="H23" s="329"/>
    </row>
    <row r="24" spans="2:8">
      <c r="B24" s="435" t="s">
        <v>181</v>
      </c>
      <c r="C24" s="435">
        <v>2</v>
      </c>
      <c r="D24" s="435">
        <f>SUMIFS(C39:C93,D39:D93,"Coleta e Transporte",E39:E93,"",F39:F93,"",G39:G93,"Disposição Final")</f>
        <v>16</v>
      </c>
      <c r="E24" s="107">
        <f t="shared" si="0"/>
        <v>8</v>
      </c>
      <c r="F24" s="107">
        <f t="shared" si="1"/>
        <v>4</v>
      </c>
      <c r="G24" s="113"/>
      <c r="H24" s="329"/>
    </row>
    <row r="25" spans="2:8">
      <c r="B25" s="428" t="s">
        <v>182</v>
      </c>
      <c r="C25" s="323"/>
      <c r="D25" s="104">
        <f>SUM(D20:D24)</f>
        <v>340</v>
      </c>
      <c r="E25" s="104">
        <f>SUM(E20:E24)</f>
        <v>99.25</v>
      </c>
      <c r="F25" s="104">
        <f>SUM(F20:F24)</f>
        <v>49.625</v>
      </c>
      <c r="G25" s="114"/>
      <c r="H25" s="432"/>
    </row>
    <row r="26" spans="2:8" ht="15">
      <c r="B26" s="3" t="s">
        <v>183</v>
      </c>
      <c r="C26" s="432"/>
      <c r="E26" s="432"/>
      <c r="F26" s="432"/>
      <c r="G26" s="432"/>
      <c r="H26"/>
    </row>
    <row r="27" spans="2:8">
      <c r="C27" s="432"/>
      <c r="E27" s="432"/>
      <c r="F27" s="432"/>
      <c r="G27" s="432"/>
      <c r="H27" s="432"/>
    </row>
    <row r="28" spans="2:8" ht="15">
      <c r="B28" s="3" t="s">
        <v>184</v>
      </c>
      <c r="C28" s="432"/>
      <c r="E28" s="432"/>
      <c r="F28" s="432"/>
      <c r="G28"/>
      <c r="H28" s="432"/>
    </row>
    <row r="29" spans="2:8">
      <c r="B29" s="3" t="s">
        <v>185</v>
      </c>
      <c r="C29" s="432"/>
      <c r="E29" s="432"/>
      <c r="F29" s="432"/>
      <c r="G29" s="432"/>
      <c r="H29" s="432"/>
    </row>
    <row r="30" spans="2:8" ht="36" customHeight="1">
      <c r="B30" s="3" t="s">
        <v>186</v>
      </c>
      <c r="C30" s="432"/>
      <c r="E30" s="432"/>
      <c r="F30" s="432"/>
      <c r="G30" s="432"/>
      <c r="H30" s="432"/>
    </row>
    <row r="31" spans="2:8" ht="30" customHeight="1">
      <c r="B31" s="3" t="s">
        <v>187</v>
      </c>
      <c r="C31" s="432"/>
      <c r="E31" s="432"/>
      <c r="F31"/>
      <c r="G31" s="432"/>
      <c r="H31" s="432"/>
    </row>
    <row r="32" spans="2:8">
      <c r="C32" s="432"/>
      <c r="E32" s="432"/>
      <c r="F32" s="432"/>
      <c r="G32" s="432"/>
      <c r="H32" s="432"/>
    </row>
    <row r="33" spans="1:14">
      <c r="B33" s="11" t="s">
        <v>188</v>
      </c>
      <c r="C33" s="432"/>
      <c r="E33" s="432"/>
      <c r="F33" s="432"/>
      <c r="G33" s="432"/>
      <c r="H33" s="432"/>
    </row>
    <row r="34" spans="1:14">
      <c r="C34" s="432"/>
      <c r="E34" s="432"/>
      <c r="F34" s="432"/>
      <c r="G34" s="432"/>
      <c r="H34" s="432"/>
    </row>
    <row r="35" spans="1:14">
      <c r="C35" s="432"/>
      <c r="E35" s="432"/>
      <c r="F35" s="432"/>
      <c r="G35" s="432"/>
      <c r="H35" s="432"/>
    </row>
    <row r="36" spans="1:14">
      <c r="C36" s="432"/>
      <c r="E36" s="432"/>
      <c r="F36" s="432"/>
      <c r="G36" s="432"/>
      <c r="H36" s="432"/>
    </row>
    <row r="37" spans="1:14" ht="25.5">
      <c r="A37" s="321"/>
      <c r="B37" s="322" t="s">
        <v>189</v>
      </c>
      <c r="C37" s="326" t="s">
        <v>190</v>
      </c>
      <c r="D37" s="486" t="s">
        <v>191</v>
      </c>
      <c r="E37" s="486"/>
      <c r="F37" s="486"/>
      <c r="G37" s="486"/>
      <c r="H37" s="432"/>
    </row>
    <row r="38" spans="1:14">
      <c r="A38" s="321"/>
      <c r="B38" s="322"/>
      <c r="C38" s="326"/>
      <c r="D38" s="431"/>
      <c r="E38" s="431"/>
      <c r="F38" s="431"/>
      <c r="G38" s="431"/>
      <c r="H38" s="432"/>
    </row>
    <row r="39" spans="1:14" ht="14.25" customHeight="1">
      <c r="A39" s="87">
        <v>1</v>
      </c>
      <c r="B39" s="82" t="s">
        <v>192</v>
      </c>
      <c r="C39" s="84">
        <v>18</v>
      </c>
      <c r="D39" s="95" t="s">
        <v>193</v>
      </c>
      <c r="E39" s="95" t="s">
        <v>194</v>
      </c>
      <c r="F39" s="327" t="s">
        <v>195</v>
      </c>
      <c r="G39" s="328" t="s">
        <v>196</v>
      </c>
      <c r="H39" s="432"/>
    </row>
    <row r="40" spans="1:14" ht="16.5" customHeight="1">
      <c r="A40" s="88">
        <v>2</v>
      </c>
      <c r="B40" s="83" t="s">
        <v>197</v>
      </c>
      <c r="C40" s="85">
        <v>2</v>
      </c>
      <c r="D40" s="85" t="s">
        <v>193</v>
      </c>
      <c r="E40" s="85" t="s">
        <v>194</v>
      </c>
      <c r="F40" s="90" t="s">
        <v>195</v>
      </c>
      <c r="G40" s="98" t="s">
        <v>196</v>
      </c>
      <c r="H40" s="432"/>
      <c r="N40" s="14"/>
    </row>
    <row r="41" spans="1:14" ht="14.25" customHeight="1">
      <c r="A41" s="87">
        <v>3</v>
      </c>
      <c r="B41" s="82" t="s">
        <v>198</v>
      </c>
      <c r="C41" s="84">
        <v>1</v>
      </c>
      <c r="D41" s="84" t="s">
        <v>193</v>
      </c>
      <c r="E41" s="84" t="s">
        <v>194</v>
      </c>
      <c r="F41" s="89"/>
      <c r="G41" s="97"/>
      <c r="H41" s="432"/>
    </row>
    <row r="42" spans="1:14" ht="15">
      <c r="A42" s="88">
        <v>4</v>
      </c>
      <c r="B42" s="83" t="s">
        <v>199</v>
      </c>
      <c r="C42" s="85">
        <v>2</v>
      </c>
      <c r="D42" s="85" t="s">
        <v>193</v>
      </c>
      <c r="E42" s="85" t="s">
        <v>194</v>
      </c>
      <c r="F42" s="90" t="s">
        <v>195</v>
      </c>
      <c r="G42" s="98" t="s">
        <v>196</v>
      </c>
      <c r="H42" s="432"/>
    </row>
    <row r="43" spans="1:14" ht="14.25" customHeight="1">
      <c r="A43" s="87">
        <v>5</v>
      </c>
      <c r="B43" s="82" t="s">
        <v>200</v>
      </c>
      <c r="C43" s="84">
        <v>4</v>
      </c>
      <c r="D43" s="84" t="s">
        <v>193</v>
      </c>
      <c r="E43" s="84" t="s">
        <v>194</v>
      </c>
      <c r="F43" s="89" t="s">
        <v>195</v>
      </c>
      <c r="G43" s="97" t="s">
        <v>196</v>
      </c>
      <c r="H43" s="432"/>
    </row>
    <row r="44" spans="1:14" ht="14.25" customHeight="1">
      <c r="A44" s="88">
        <v>6</v>
      </c>
      <c r="B44" s="83" t="s">
        <v>201</v>
      </c>
      <c r="C44" s="85">
        <v>1</v>
      </c>
      <c r="D44" s="85" t="s">
        <v>193</v>
      </c>
      <c r="E44" s="85"/>
      <c r="F44" s="90" t="s">
        <v>195</v>
      </c>
      <c r="G44" s="98" t="s">
        <v>196</v>
      </c>
      <c r="H44" s="432"/>
    </row>
    <row r="45" spans="1:14" ht="14.25" customHeight="1">
      <c r="A45" s="87">
        <v>7</v>
      </c>
      <c r="B45" s="82" t="s">
        <v>202</v>
      </c>
      <c r="C45" s="84">
        <v>1</v>
      </c>
      <c r="D45" s="84" t="s">
        <v>193</v>
      </c>
      <c r="E45" s="84" t="s">
        <v>194</v>
      </c>
      <c r="F45" s="89" t="s">
        <v>195</v>
      </c>
      <c r="G45" s="97" t="s">
        <v>196</v>
      </c>
      <c r="H45" s="432"/>
    </row>
    <row r="46" spans="1:14" ht="14.25" customHeight="1">
      <c r="A46" s="88">
        <v>8</v>
      </c>
      <c r="B46" s="83" t="s">
        <v>203</v>
      </c>
      <c r="C46" s="85">
        <v>1</v>
      </c>
      <c r="D46" s="85" t="s">
        <v>193</v>
      </c>
      <c r="E46" s="85" t="s">
        <v>194</v>
      </c>
      <c r="F46" s="90" t="s">
        <v>195</v>
      </c>
      <c r="G46" s="98" t="s">
        <v>196</v>
      </c>
      <c r="H46" s="432"/>
    </row>
    <row r="47" spans="1:14" ht="14.25" customHeight="1">
      <c r="A47" s="87">
        <v>9</v>
      </c>
      <c r="B47" s="82" t="s">
        <v>204</v>
      </c>
      <c r="C47" s="84">
        <v>1</v>
      </c>
      <c r="D47" s="84" t="s">
        <v>193</v>
      </c>
      <c r="E47" s="84" t="s">
        <v>194</v>
      </c>
      <c r="F47" s="89" t="s">
        <v>195</v>
      </c>
      <c r="G47" s="97" t="s">
        <v>196</v>
      </c>
      <c r="H47" s="432"/>
    </row>
    <row r="48" spans="1:14" ht="14.25" customHeight="1">
      <c r="A48" s="88">
        <v>10</v>
      </c>
      <c r="B48" s="83" t="s">
        <v>205</v>
      </c>
      <c r="C48" s="85">
        <v>1</v>
      </c>
      <c r="D48" s="85" t="s">
        <v>193</v>
      </c>
      <c r="E48" s="85"/>
      <c r="F48" s="90" t="s">
        <v>195</v>
      </c>
      <c r="G48" s="98" t="s">
        <v>196</v>
      </c>
      <c r="H48" s="432"/>
      <c r="I48" s="157"/>
      <c r="J48" s="157"/>
      <c r="K48" s="157"/>
      <c r="L48" s="157"/>
      <c r="M48" s="157"/>
    </row>
    <row r="49" spans="1:13" ht="14.25" customHeight="1">
      <c r="A49" s="87">
        <v>11</v>
      </c>
      <c r="B49" s="82" t="s">
        <v>206</v>
      </c>
      <c r="C49" s="84">
        <v>1</v>
      </c>
      <c r="D49" s="84" t="s">
        <v>193</v>
      </c>
      <c r="E49" s="84" t="s">
        <v>194</v>
      </c>
      <c r="F49" s="89" t="s">
        <v>195</v>
      </c>
      <c r="G49" s="97" t="s">
        <v>196</v>
      </c>
      <c r="H49" s="432"/>
      <c r="J49" s="157"/>
      <c r="K49" s="157"/>
      <c r="L49" s="157"/>
      <c r="M49" s="157"/>
    </row>
    <row r="50" spans="1:13" ht="14.25" customHeight="1">
      <c r="A50" s="88">
        <v>12</v>
      </c>
      <c r="B50" s="83" t="s">
        <v>207</v>
      </c>
      <c r="C50" s="85">
        <v>1</v>
      </c>
      <c r="D50" s="85" t="s">
        <v>193</v>
      </c>
      <c r="E50" s="85" t="s">
        <v>194</v>
      </c>
      <c r="F50" s="90" t="s">
        <v>195</v>
      </c>
      <c r="G50" s="98" t="s">
        <v>196</v>
      </c>
      <c r="H50" s="432"/>
      <c r="I50" s="432"/>
      <c r="J50" s="157"/>
      <c r="K50" s="157"/>
      <c r="L50" s="157"/>
      <c r="M50" s="157"/>
    </row>
    <row r="51" spans="1:13" ht="15">
      <c r="A51" s="87">
        <v>13</v>
      </c>
      <c r="B51" s="82" t="s">
        <v>208</v>
      </c>
      <c r="C51" s="84">
        <v>25</v>
      </c>
      <c r="D51" s="84" t="s">
        <v>193</v>
      </c>
      <c r="E51" s="84" t="s">
        <v>194</v>
      </c>
      <c r="F51" s="89" t="s">
        <v>195</v>
      </c>
      <c r="G51" s="97" t="s">
        <v>196</v>
      </c>
      <c r="H51" s="432"/>
      <c r="I51" s="157"/>
      <c r="J51" s="157"/>
      <c r="K51" s="157"/>
      <c r="L51" s="157"/>
      <c r="M51" s="157"/>
    </row>
    <row r="52" spans="1:13" ht="15">
      <c r="A52" s="88">
        <v>14</v>
      </c>
      <c r="B52" s="83" t="s">
        <v>209</v>
      </c>
      <c r="C52" s="85">
        <v>1</v>
      </c>
      <c r="D52" s="85" t="s">
        <v>193</v>
      </c>
      <c r="E52" s="85" t="s">
        <v>194</v>
      </c>
      <c r="F52" s="90" t="s">
        <v>195</v>
      </c>
      <c r="G52" s="98" t="s">
        <v>196</v>
      </c>
      <c r="H52" s="432"/>
      <c r="I52" s="157"/>
      <c r="J52" s="157"/>
      <c r="K52" s="157"/>
      <c r="L52" s="157"/>
      <c r="M52" s="157"/>
    </row>
    <row r="53" spans="1:13" ht="15">
      <c r="A53" s="87">
        <v>15</v>
      </c>
      <c r="B53" s="82" t="s">
        <v>210</v>
      </c>
      <c r="C53" s="84">
        <v>27</v>
      </c>
      <c r="D53" s="84"/>
      <c r="E53" s="84"/>
      <c r="F53" s="89"/>
      <c r="G53" s="97" t="s">
        <v>196</v>
      </c>
      <c r="H53" s="432"/>
      <c r="I53" s="157"/>
      <c r="J53" s="157"/>
      <c r="K53" s="157"/>
      <c r="L53" s="157"/>
      <c r="M53" s="157"/>
    </row>
    <row r="54" spans="1:13" ht="15">
      <c r="A54" s="88">
        <v>16</v>
      </c>
      <c r="B54" s="83" t="s">
        <v>211</v>
      </c>
      <c r="C54" s="85">
        <v>1</v>
      </c>
      <c r="D54" s="85" t="s">
        <v>193</v>
      </c>
      <c r="E54" s="85" t="s">
        <v>194</v>
      </c>
      <c r="F54" s="90" t="s">
        <v>195</v>
      </c>
      <c r="G54" s="98" t="s">
        <v>196</v>
      </c>
      <c r="H54" s="432"/>
      <c r="I54" s="157"/>
      <c r="J54" s="157"/>
      <c r="K54" s="157"/>
      <c r="L54" s="157"/>
      <c r="M54" s="157"/>
    </row>
    <row r="55" spans="1:13" ht="15">
      <c r="A55" s="87">
        <v>17</v>
      </c>
      <c r="B55" s="82" t="s">
        <v>212</v>
      </c>
      <c r="C55" s="84">
        <v>2</v>
      </c>
      <c r="D55" s="84" t="s">
        <v>193</v>
      </c>
      <c r="E55" s="84" t="s">
        <v>194</v>
      </c>
      <c r="F55" s="89" t="s">
        <v>195</v>
      </c>
      <c r="G55" s="97" t="s">
        <v>196</v>
      </c>
      <c r="H55" s="432"/>
      <c r="I55" s="157"/>
      <c r="J55" s="157"/>
      <c r="K55" s="157"/>
      <c r="L55" s="157"/>
      <c r="M55" s="157"/>
    </row>
    <row r="56" spans="1:13" ht="14.25" customHeight="1">
      <c r="A56" s="88">
        <v>18</v>
      </c>
      <c r="B56" s="83" t="s">
        <v>213</v>
      </c>
      <c r="C56" s="85">
        <v>1</v>
      </c>
      <c r="D56" s="85" t="s">
        <v>193</v>
      </c>
      <c r="E56" s="85" t="s">
        <v>194</v>
      </c>
      <c r="F56" s="90" t="s">
        <v>195</v>
      </c>
      <c r="G56" s="98" t="s">
        <v>196</v>
      </c>
      <c r="H56" s="432"/>
      <c r="I56" s="157"/>
      <c r="J56" s="157"/>
      <c r="K56" s="157"/>
      <c r="L56" s="157"/>
      <c r="M56" s="157"/>
    </row>
    <row r="57" spans="1:13" ht="14.25" customHeight="1">
      <c r="A57" s="87">
        <v>19</v>
      </c>
      <c r="B57" s="82" t="s">
        <v>214</v>
      </c>
      <c r="C57" s="84"/>
      <c r="D57" s="84" t="s">
        <v>193</v>
      </c>
      <c r="E57" s="84" t="s">
        <v>194</v>
      </c>
      <c r="F57" s="89" t="s">
        <v>195</v>
      </c>
      <c r="G57" s="97" t="s">
        <v>196</v>
      </c>
      <c r="H57" s="432"/>
      <c r="I57" s="157"/>
      <c r="J57" s="157"/>
      <c r="K57" s="157"/>
      <c r="L57" s="157"/>
      <c r="M57" s="157"/>
    </row>
    <row r="58" spans="1:13" ht="14.25" customHeight="1">
      <c r="A58" s="88">
        <v>20</v>
      </c>
      <c r="B58" s="83" t="s">
        <v>215</v>
      </c>
      <c r="C58" s="85">
        <v>27</v>
      </c>
      <c r="D58" s="85" t="s">
        <v>193</v>
      </c>
      <c r="E58" s="85" t="s">
        <v>194</v>
      </c>
      <c r="F58" s="90" t="s">
        <v>195</v>
      </c>
      <c r="G58" s="98" t="s">
        <v>196</v>
      </c>
      <c r="H58" s="432"/>
      <c r="I58" s="157"/>
      <c r="J58" s="157"/>
      <c r="K58" s="157"/>
      <c r="L58" s="157"/>
      <c r="M58" s="157"/>
    </row>
    <row r="59" spans="1:13" ht="14.25" customHeight="1">
      <c r="A59" s="87">
        <v>21</v>
      </c>
      <c r="B59" s="82" t="s">
        <v>216</v>
      </c>
      <c r="C59" s="84">
        <v>1</v>
      </c>
      <c r="D59" s="84" t="s">
        <v>193</v>
      </c>
      <c r="E59" s="84" t="s">
        <v>194</v>
      </c>
      <c r="F59" s="89" t="s">
        <v>195</v>
      </c>
      <c r="G59" s="97" t="s">
        <v>196</v>
      </c>
      <c r="H59" s="432"/>
      <c r="I59" s="157"/>
      <c r="J59" s="157"/>
      <c r="K59" s="157"/>
      <c r="L59" s="157"/>
      <c r="M59" s="157"/>
    </row>
    <row r="60" spans="1:13" ht="14.25" customHeight="1">
      <c r="A60" s="88">
        <v>22</v>
      </c>
      <c r="B60" s="83" t="s">
        <v>217</v>
      </c>
      <c r="C60" s="85">
        <v>1</v>
      </c>
      <c r="D60" s="85" t="s">
        <v>193</v>
      </c>
      <c r="E60" s="85" t="s">
        <v>194</v>
      </c>
      <c r="F60" s="90" t="s">
        <v>195</v>
      </c>
      <c r="G60" s="98" t="s">
        <v>196</v>
      </c>
      <c r="H60" s="432"/>
      <c r="I60" s="157"/>
      <c r="J60" s="157"/>
      <c r="K60" s="157"/>
      <c r="L60" s="157"/>
      <c r="M60" s="157"/>
    </row>
    <row r="61" spans="1:13" ht="14.25" customHeight="1">
      <c r="A61" s="87">
        <v>23</v>
      </c>
      <c r="B61" s="82" t="s">
        <v>218</v>
      </c>
      <c r="C61" s="84">
        <v>1</v>
      </c>
      <c r="D61" s="84" t="s">
        <v>193</v>
      </c>
      <c r="E61" s="84" t="s">
        <v>194</v>
      </c>
      <c r="F61" s="89" t="s">
        <v>195</v>
      </c>
      <c r="G61" s="97" t="s">
        <v>196</v>
      </c>
      <c r="H61" s="432"/>
    </row>
    <row r="62" spans="1:13" ht="14.25" customHeight="1">
      <c r="A62" s="88">
        <v>24</v>
      </c>
      <c r="B62" s="83" t="s">
        <v>219</v>
      </c>
      <c r="C62" s="85">
        <v>4</v>
      </c>
      <c r="D62" s="85" t="s">
        <v>193</v>
      </c>
      <c r="E62" s="85"/>
      <c r="F62" s="90" t="s">
        <v>195</v>
      </c>
      <c r="G62" s="98" t="s">
        <v>196</v>
      </c>
      <c r="H62" s="432"/>
      <c r="I62" s="487"/>
      <c r="J62" s="487"/>
      <c r="K62" s="487"/>
    </row>
    <row r="63" spans="1:13" ht="14.25" customHeight="1">
      <c r="A63" s="87">
        <v>25</v>
      </c>
      <c r="B63" s="82" t="s">
        <v>220</v>
      </c>
      <c r="C63" s="84">
        <v>30</v>
      </c>
      <c r="D63" s="84" t="s">
        <v>193</v>
      </c>
      <c r="E63" s="84"/>
      <c r="F63" s="89" t="s">
        <v>195</v>
      </c>
      <c r="G63" s="97" t="s">
        <v>196</v>
      </c>
      <c r="H63" s="432"/>
    </row>
    <row r="64" spans="1:13" ht="14.25" customHeight="1">
      <c r="A64" s="88">
        <v>26</v>
      </c>
      <c r="B64" s="83" t="s">
        <v>221</v>
      </c>
      <c r="C64" s="85">
        <v>15</v>
      </c>
      <c r="D64" s="85" t="s">
        <v>193</v>
      </c>
      <c r="E64" s="85"/>
      <c r="F64" s="90"/>
      <c r="G64" s="98" t="s">
        <v>196</v>
      </c>
      <c r="H64" s="432"/>
    </row>
    <row r="65" spans="1:7" ht="14.25" customHeight="1">
      <c r="A65" s="87">
        <v>27</v>
      </c>
      <c r="B65" s="82" t="s">
        <v>222</v>
      </c>
      <c r="C65" s="84">
        <v>19</v>
      </c>
      <c r="D65" s="84" t="s">
        <v>193</v>
      </c>
      <c r="E65" s="84"/>
      <c r="F65" s="89" t="s">
        <v>195</v>
      </c>
      <c r="G65" s="97"/>
    </row>
    <row r="66" spans="1:7" ht="14.25" customHeight="1">
      <c r="A66" s="88">
        <v>28</v>
      </c>
      <c r="B66" s="83" t="s">
        <v>223</v>
      </c>
      <c r="C66" s="85">
        <v>14</v>
      </c>
      <c r="D66" s="85" t="s">
        <v>193</v>
      </c>
      <c r="E66" s="85"/>
      <c r="F66" s="90" t="s">
        <v>195</v>
      </c>
      <c r="G66" s="98"/>
    </row>
    <row r="67" spans="1:7" ht="14.25" customHeight="1">
      <c r="A67" s="87">
        <v>29</v>
      </c>
      <c r="B67" s="82" t="s">
        <v>224</v>
      </c>
      <c r="C67" s="84">
        <v>18</v>
      </c>
      <c r="D67" s="84" t="s">
        <v>193</v>
      </c>
      <c r="E67" s="84"/>
      <c r="F67" s="89" t="s">
        <v>195</v>
      </c>
      <c r="G67" s="97"/>
    </row>
    <row r="68" spans="1:7" ht="27" customHeight="1">
      <c r="A68" s="88">
        <v>30</v>
      </c>
      <c r="B68" s="83" t="s">
        <v>225</v>
      </c>
      <c r="C68" s="85">
        <v>1</v>
      </c>
      <c r="D68" s="85" t="s">
        <v>193</v>
      </c>
      <c r="E68" s="85"/>
      <c r="F68" s="90"/>
      <c r="G68" s="98" t="s">
        <v>196</v>
      </c>
    </row>
    <row r="69" spans="1:7" ht="14.25" customHeight="1">
      <c r="A69" s="87">
        <v>31</v>
      </c>
      <c r="B69" s="82" t="s">
        <v>226</v>
      </c>
      <c r="C69" s="84">
        <v>6</v>
      </c>
      <c r="D69" s="84" t="s">
        <v>193</v>
      </c>
      <c r="E69" s="84" t="s">
        <v>194</v>
      </c>
      <c r="F69" s="89" t="s">
        <v>195</v>
      </c>
      <c r="G69" s="97" t="s">
        <v>196</v>
      </c>
    </row>
    <row r="70" spans="1:7" ht="14.25" customHeight="1">
      <c r="A70" s="88">
        <v>32</v>
      </c>
      <c r="B70" s="83" t="s">
        <v>227</v>
      </c>
      <c r="C70" s="85">
        <v>18</v>
      </c>
      <c r="D70" s="85" t="s">
        <v>193</v>
      </c>
      <c r="E70" s="85" t="s">
        <v>194</v>
      </c>
      <c r="F70" s="90" t="s">
        <v>195</v>
      </c>
      <c r="G70" s="98" t="s">
        <v>196</v>
      </c>
    </row>
    <row r="71" spans="1:7" ht="14.25" customHeight="1">
      <c r="A71" s="87">
        <v>33</v>
      </c>
      <c r="B71" s="82" t="s">
        <v>228</v>
      </c>
      <c r="C71" s="84">
        <v>10</v>
      </c>
      <c r="D71" s="84" t="s">
        <v>193</v>
      </c>
      <c r="E71" s="84" t="s">
        <v>194</v>
      </c>
      <c r="F71" s="89" t="s">
        <v>195</v>
      </c>
      <c r="G71" s="97" t="s">
        <v>196</v>
      </c>
    </row>
    <row r="72" spans="1:7" ht="14.25" customHeight="1">
      <c r="A72" s="88">
        <v>34</v>
      </c>
      <c r="B72" s="83" t="s">
        <v>229</v>
      </c>
      <c r="C72" s="85">
        <v>2</v>
      </c>
      <c r="D72" s="85" t="s">
        <v>193</v>
      </c>
      <c r="E72" s="85" t="s">
        <v>194</v>
      </c>
      <c r="F72" s="90" t="s">
        <v>195</v>
      </c>
      <c r="G72" s="98" t="s">
        <v>196</v>
      </c>
    </row>
    <row r="73" spans="1:7" ht="14.25" customHeight="1">
      <c r="A73" s="87">
        <v>35</v>
      </c>
      <c r="B73" s="82" t="s">
        <v>230</v>
      </c>
      <c r="C73" s="84">
        <v>2</v>
      </c>
      <c r="D73" s="84" t="s">
        <v>193</v>
      </c>
      <c r="E73" s="84" t="s">
        <v>194</v>
      </c>
      <c r="F73" s="89" t="s">
        <v>195</v>
      </c>
      <c r="G73" s="97" t="s">
        <v>196</v>
      </c>
    </row>
    <row r="74" spans="1:7" ht="14.25" customHeight="1">
      <c r="A74" s="88">
        <v>36</v>
      </c>
      <c r="B74" s="83" t="s">
        <v>231</v>
      </c>
      <c r="C74" s="85">
        <v>5</v>
      </c>
      <c r="D74" s="85" t="s">
        <v>193</v>
      </c>
      <c r="E74" s="85" t="s">
        <v>194</v>
      </c>
      <c r="F74" s="90" t="s">
        <v>195</v>
      </c>
      <c r="G74" s="98" t="s">
        <v>196</v>
      </c>
    </row>
    <row r="75" spans="1:7" ht="14.25" customHeight="1">
      <c r="A75" s="87">
        <v>37</v>
      </c>
      <c r="B75" s="82" t="s">
        <v>232</v>
      </c>
      <c r="C75" s="84">
        <v>7</v>
      </c>
      <c r="D75" s="84" t="s">
        <v>193</v>
      </c>
      <c r="E75" s="84" t="s">
        <v>194</v>
      </c>
      <c r="F75" s="89" t="s">
        <v>195</v>
      </c>
      <c r="G75" s="97" t="s">
        <v>196</v>
      </c>
    </row>
    <row r="76" spans="1:7" ht="14.25" customHeight="1">
      <c r="A76" s="88">
        <v>38</v>
      </c>
      <c r="B76" s="83" t="s">
        <v>233</v>
      </c>
      <c r="C76" s="85">
        <v>3</v>
      </c>
      <c r="D76" s="85" t="s">
        <v>193</v>
      </c>
      <c r="E76" s="85" t="s">
        <v>194</v>
      </c>
      <c r="F76" s="90" t="s">
        <v>195</v>
      </c>
      <c r="G76" s="98" t="s">
        <v>196</v>
      </c>
    </row>
    <row r="77" spans="1:7" ht="14.25" customHeight="1">
      <c r="A77" s="87">
        <v>39</v>
      </c>
      <c r="B77" s="82" t="s">
        <v>234</v>
      </c>
      <c r="C77" s="84">
        <v>3</v>
      </c>
      <c r="D77" s="84" t="s">
        <v>193</v>
      </c>
      <c r="E77" s="84" t="s">
        <v>194</v>
      </c>
      <c r="F77" s="89" t="s">
        <v>195</v>
      </c>
      <c r="G77" s="97" t="s">
        <v>196</v>
      </c>
    </row>
    <row r="78" spans="1:7" ht="15">
      <c r="A78" s="88">
        <v>40</v>
      </c>
      <c r="B78" s="83" t="s">
        <v>235</v>
      </c>
      <c r="C78" s="85">
        <v>3</v>
      </c>
      <c r="D78" s="85" t="s">
        <v>193</v>
      </c>
      <c r="E78" s="85" t="s">
        <v>194</v>
      </c>
      <c r="F78" s="90" t="s">
        <v>195</v>
      </c>
      <c r="G78" s="98" t="s">
        <v>196</v>
      </c>
    </row>
    <row r="79" spans="1:7" ht="14.25" customHeight="1">
      <c r="A79" s="87">
        <v>41</v>
      </c>
      <c r="B79" s="82" t="s">
        <v>236</v>
      </c>
      <c r="C79" s="84">
        <v>1</v>
      </c>
      <c r="D79" s="84" t="s">
        <v>193</v>
      </c>
      <c r="E79" s="84" t="s">
        <v>194</v>
      </c>
      <c r="F79" s="89" t="s">
        <v>195</v>
      </c>
      <c r="G79" s="97" t="s">
        <v>196</v>
      </c>
    </row>
    <row r="80" spans="1:7" ht="14.25" customHeight="1">
      <c r="A80" s="88">
        <v>42</v>
      </c>
      <c r="B80" s="83" t="s">
        <v>237</v>
      </c>
      <c r="C80" s="85">
        <v>4</v>
      </c>
      <c r="D80" s="85" t="s">
        <v>193</v>
      </c>
      <c r="E80" s="85" t="s">
        <v>194</v>
      </c>
      <c r="F80" s="90" t="s">
        <v>195</v>
      </c>
      <c r="G80" s="98" t="s">
        <v>196</v>
      </c>
    </row>
    <row r="81" spans="1:7" ht="15.6" customHeight="1">
      <c r="A81" s="87">
        <v>43</v>
      </c>
      <c r="B81" s="82" t="s">
        <v>238</v>
      </c>
      <c r="C81" s="84">
        <v>1</v>
      </c>
      <c r="D81" s="84" t="s">
        <v>193</v>
      </c>
      <c r="E81" s="84" t="s">
        <v>194</v>
      </c>
      <c r="F81" s="89" t="s">
        <v>195</v>
      </c>
      <c r="G81" s="97" t="s">
        <v>196</v>
      </c>
    </row>
    <row r="82" spans="1:7" ht="14.25" customHeight="1">
      <c r="A82" s="88">
        <v>44</v>
      </c>
      <c r="B82" s="83" t="s">
        <v>239</v>
      </c>
      <c r="C82" s="85">
        <v>1</v>
      </c>
      <c r="D82" s="85" t="s">
        <v>193</v>
      </c>
      <c r="E82" s="85" t="s">
        <v>194</v>
      </c>
      <c r="F82" s="90" t="s">
        <v>195</v>
      </c>
      <c r="G82" s="98" t="s">
        <v>196</v>
      </c>
    </row>
    <row r="83" spans="1:7" ht="14.25" customHeight="1">
      <c r="A83" s="87">
        <v>45</v>
      </c>
      <c r="B83" s="82" t="s">
        <v>240</v>
      </c>
      <c r="C83" s="84">
        <v>5</v>
      </c>
      <c r="D83" s="84" t="s">
        <v>193</v>
      </c>
      <c r="E83" s="84" t="s">
        <v>194</v>
      </c>
      <c r="F83" s="89" t="s">
        <v>195</v>
      </c>
      <c r="G83" s="97" t="s">
        <v>196</v>
      </c>
    </row>
    <row r="84" spans="1:7" ht="14.25" customHeight="1">
      <c r="A84" s="88">
        <v>46</v>
      </c>
      <c r="B84" s="83" t="s">
        <v>241</v>
      </c>
      <c r="C84" s="85">
        <v>1</v>
      </c>
      <c r="D84" s="85" t="s">
        <v>193</v>
      </c>
      <c r="E84" s="85" t="s">
        <v>194</v>
      </c>
      <c r="F84" s="90" t="s">
        <v>195</v>
      </c>
      <c r="G84" s="98" t="s">
        <v>196</v>
      </c>
    </row>
    <row r="85" spans="1:7" ht="14.25" customHeight="1">
      <c r="A85" s="87">
        <v>47</v>
      </c>
      <c r="B85" s="82" t="s">
        <v>242</v>
      </c>
      <c r="C85" s="84">
        <v>1</v>
      </c>
      <c r="D85" s="84" t="s">
        <v>193</v>
      </c>
      <c r="E85" s="84" t="s">
        <v>194</v>
      </c>
      <c r="F85" s="89" t="s">
        <v>195</v>
      </c>
      <c r="G85" s="97" t="s">
        <v>196</v>
      </c>
    </row>
    <row r="86" spans="1:7" ht="14.25" customHeight="1">
      <c r="A86" s="88">
        <v>48</v>
      </c>
      <c r="B86" s="83" t="s">
        <v>243</v>
      </c>
      <c r="C86" s="85">
        <v>2</v>
      </c>
      <c r="D86" s="85" t="s">
        <v>193</v>
      </c>
      <c r="E86" s="85" t="s">
        <v>194</v>
      </c>
      <c r="F86" s="90" t="s">
        <v>195</v>
      </c>
      <c r="G86" s="98" t="s">
        <v>196</v>
      </c>
    </row>
    <row r="87" spans="1:7" ht="14.25" customHeight="1">
      <c r="A87" s="87">
        <v>49</v>
      </c>
      <c r="B87" s="82" t="s">
        <v>244</v>
      </c>
      <c r="C87" s="84">
        <v>1</v>
      </c>
      <c r="D87" s="84" t="s">
        <v>193</v>
      </c>
      <c r="E87" s="84" t="s">
        <v>194</v>
      </c>
      <c r="F87" s="89" t="s">
        <v>195</v>
      </c>
      <c r="G87" s="97" t="s">
        <v>196</v>
      </c>
    </row>
    <row r="88" spans="1:7" ht="14.25" customHeight="1">
      <c r="A88" s="88">
        <v>50</v>
      </c>
      <c r="B88" s="83" t="s">
        <v>245</v>
      </c>
      <c r="C88" s="85">
        <v>4</v>
      </c>
      <c r="D88" s="85" t="s">
        <v>193</v>
      </c>
      <c r="E88" s="85" t="s">
        <v>194</v>
      </c>
      <c r="F88" s="90" t="s">
        <v>195</v>
      </c>
      <c r="G88" s="98" t="s">
        <v>196</v>
      </c>
    </row>
    <row r="89" spans="1:7" ht="14.25" customHeight="1">
      <c r="A89" s="87">
        <v>51</v>
      </c>
      <c r="B89" s="82" t="s">
        <v>246</v>
      </c>
      <c r="C89" s="84">
        <v>1</v>
      </c>
      <c r="D89" s="84" t="s">
        <v>193</v>
      </c>
      <c r="E89" s="84" t="s">
        <v>194</v>
      </c>
      <c r="F89" s="89" t="s">
        <v>195</v>
      </c>
      <c r="G89" s="97" t="s">
        <v>196</v>
      </c>
    </row>
    <row r="90" spans="1:7" ht="25.5">
      <c r="A90" s="88">
        <v>52</v>
      </c>
      <c r="B90" s="83" t="s">
        <v>247</v>
      </c>
      <c r="C90" s="85">
        <v>20</v>
      </c>
      <c r="D90" s="85" t="s">
        <v>193</v>
      </c>
      <c r="E90" s="85" t="s">
        <v>194</v>
      </c>
      <c r="F90" s="90" t="s">
        <v>195</v>
      </c>
      <c r="G90" s="98" t="s">
        <v>196</v>
      </c>
    </row>
    <row r="91" spans="1:7" ht="14.25" customHeight="1">
      <c r="A91" s="87">
        <v>53</v>
      </c>
      <c r="B91" s="82" t="s">
        <v>248</v>
      </c>
      <c r="C91" s="84">
        <v>7</v>
      </c>
      <c r="D91" s="84" t="s">
        <v>193</v>
      </c>
      <c r="E91" s="84" t="s">
        <v>194</v>
      </c>
      <c r="F91" s="89" t="s">
        <v>195</v>
      </c>
      <c r="G91" s="97" t="s">
        <v>196</v>
      </c>
    </row>
    <row r="92" spans="1:7" ht="14.25" customHeight="1">
      <c r="A92" s="88">
        <v>54</v>
      </c>
      <c r="B92" s="83" t="s">
        <v>249</v>
      </c>
      <c r="C92" s="85">
        <v>5</v>
      </c>
      <c r="D92" s="85" t="s">
        <v>193</v>
      </c>
      <c r="E92" s="85" t="s">
        <v>194</v>
      </c>
      <c r="F92" s="90" t="s">
        <v>195</v>
      </c>
      <c r="G92" s="98" t="s">
        <v>196</v>
      </c>
    </row>
    <row r="93" spans="1:7" ht="14.25" customHeight="1">
      <c r="A93" s="87">
        <v>55</v>
      </c>
      <c r="B93" s="82" t="s">
        <v>250</v>
      </c>
      <c r="C93" s="84">
        <v>5</v>
      </c>
      <c r="D93" s="84" t="s">
        <v>193</v>
      </c>
      <c r="E93" s="84" t="s">
        <v>194</v>
      </c>
      <c r="F93" s="89" t="s">
        <v>195</v>
      </c>
      <c r="G93" s="97" t="s">
        <v>196</v>
      </c>
    </row>
    <row r="94" spans="1:7" ht="14.25" customHeight="1">
      <c r="A94" s="88"/>
      <c r="B94" s="324" t="s">
        <v>251</v>
      </c>
      <c r="C94" s="325">
        <f>SUM(C39:C93)</f>
        <v>340</v>
      </c>
      <c r="D94" s="86"/>
      <c r="E94" s="86"/>
      <c r="F94" s="96"/>
      <c r="G94" s="99"/>
    </row>
  </sheetData>
  <autoFilter ref="A38:G94" xr:uid="{8216486D-D737-4E99-BE4A-FAAC8E5F0436}"/>
  <mergeCells count="4">
    <mergeCell ref="D37:G37"/>
    <mergeCell ref="B5:G6"/>
    <mergeCell ref="B8:G16"/>
    <mergeCell ref="I62:K62"/>
  </mergeCells>
  <dataValidations count="1">
    <dataValidation type="list" allowBlank="1" showInputMessage="1" showErrorMessage="1" sqref="D39:G94" xr:uid="{0AD3223C-9668-4444-A333-DA20B3019D0D}">
      <formula1>#REF!</formula1>
    </dataValidation>
  </dataValidations>
  <pageMargins left="0.75" right="0.75" top="1" bottom="1" header="0.5" footer="0.5"/>
  <pageSetup paperSize="9" scale="9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ACC5849173DA4AA41A9792359503BF" ma:contentTypeVersion="9" ma:contentTypeDescription="Crie um novo documento." ma:contentTypeScope="" ma:versionID="ea475c366f90d56d46012d0ee936a2a4">
  <xsd:schema xmlns:xsd="http://www.w3.org/2001/XMLSchema" xmlns:xs="http://www.w3.org/2001/XMLSchema" xmlns:p="http://schemas.microsoft.com/office/2006/metadata/properties" xmlns:ns2="4b520b24-8996-453a-8c5e-60294695dd12" xmlns:ns3="35902834-6a56-4be4-9b89-b053ee69e5a5" targetNamespace="http://schemas.microsoft.com/office/2006/metadata/properties" ma:root="true" ma:fieldsID="91f9f468be8ca245c8e4bf690e5a2e48" ns2:_="" ns3:_="">
    <xsd:import namespace="4b520b24-8996-453a-8c5e-60294695dd12"/>
    <xsd:import namespace="35902834-6a56-4be4-9b89-b053ee69e5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520b24-8996-453a-8c5e-60294695dd12"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902834-6a56-4be4-9b89-b053ee69e5a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33261D-224A-4959-9564-6CEB92BCE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520b24-8996-453a-8c5e-60294695dd12"/>
    <ds:schemaRef ds:uri="35902834-6a56-4be4-9b89-b053ee69e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55650B-7055-46AC-9E82-0725E3C1A442}">
  <ds:schemaRefs>
    <ds:schemaRef ds:uri="http://schemas.microsoft.com/sharepoint/v3/contenttype/forms"/>
  </ds:schemaRefs>
</ds:datastoreItem>
</file>

<file path=customXml/itemProps3.xml><?xml version="1.0" encoding="utf-8"?>
<ds:datastoreItem xmlns:ds="http://schemas.openxmlformats.org/officeDocument/2006/customXml" ds:itemID="{68A5889E-B9FD-4B03-A2B7-32024434DEB7}">
  <ds:schemaRefs>
    <ds:schemaRef ds:uri="http://purl.org/dc/terms/"/>
    <ds:schemaRef ds:uri="http://schemas.openxmlformats.org/package/2006/metadata/core-properties"/>
    <ds:schemaRef ds:uri="http://purl.org/dc/elements/1.1/"/>
    <ds:schemaRef ds:uri="35902834-6a56-4be4-9b89-b053ee69e5a5"/>
    <ds:schemaRef ds:uri="http://schemas.microsoft.com/office/infopath/2007/PartnerControls"/>
    <ds:schemaRef ds:uri="http://www.w3.org/XML/1998/namespace"/>
    <ds:schemaRef ds:uri="http://schemas.microsoft.com/office/2006/documentManagement/types"/>
    <ds:schemaRef ds:uri="4b520b24-8996-453a-8c5e-60294695dd1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9</vt:i4>
      </vt:variant>
    </vt:vector>
  </HeadingPairs>
  <TitlesOfParts>
    <vt:vector size="23" baseType="lpstr">
      <vt:lpstr>Resumo dos preços</vt:lpstr>
      <vt:lpstr>RCC</vt:lpstr>
      <vt:lpstr>Preço Eventos</vt:lpstr>
      <vt:lpstr>BDI_Geral</vt:lpstr>
      <vt:lpstr>Preço Coleta</vt:lpstr>
      <vt:lpstr>Preço do Aterro</vt:lpstr>
      <vt:lpstr>Custos diretos</vt:lpstr>
      <vt:lpstr>Custos indiretos</vt:lpstr>
      <vt:lpstr>Despesa com pessoal</vt:lpstr>
      <vt:lpstr>Estação de Trabalho</vt:lpstr>
      <vt:lpstr>Rem. Adequada</vt:lpstr>
      <vt:lpstr>Investimentos</vt:lpstr>
      <vt:lpstr>Custo de Capital</vt:lpstr>
      <vt:lpstr>Provisões e Terreno</vt:lpstr>
      <vt:lpstr>'Custos diretos'!Area_de_impressao</vt:lpstr>
      <vt:lpstr>'Custos indiretos'!Area_de_impressao</vt:lpstr>
      <vt:lpstr>'Estação de Trabalho'!Area_de_impressao</vt:lpstr>
      <vt:lpstr>Investimentos!Area_de_impressao</vt:lpstr>
      <vt:lpstr>'Preço do Aterro'!Area_de_impressao</vt:lpstr>
      <vt:lpstr>RCC!Area_de_impressao</vt:lpstr>
      <vt:lpstr>'Rem. Adequada'!Area_de_impressao</vt:lpstr>
      <vt:lpstr>Preço_Coleta__4444A1</vt:lpstr>
      <vt:lpstr>Preço_da_Coleta_de_resíduos_sólidos_orgânicos_e_indiferenciados.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Geraldi, Fernanda (BR - Sao Paulo)</dc:creator>
  <cp:keywords/>
  <dc:description/>
  <cp:lastModifiedBy>Caio Queiroz</cp:lastModifiedBy>
  <cp:revision/>
  <dcterms:created xsi:type="dcterms:W3CDTF">2015-08-03T19:33:01Z</dcterms:created>
  <dcterms:modified xsi:type="dcterms:W3CDTF">2020-11-04T12:44:15Z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0x0101009CACC5849173DA4AA41A9792359503BF</vt:lpwstr>
  </property>
  <property fmtid="{D5CDD505-2E9C-101B-9397-08002B2CF9AE}" pid="3" name="AuthorIds_UIVersion_118784">
    <vt:lpwstr>144</vt:lpwstr>
  </property>
</Properties>
</file>