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crist\Desktop\"/>
    </mc:Choice>
  </mc:AlternateContent>
  <xr:revisionPtr revIDLastSave="0" documentId="8_{7763D73E-ED7A-4248-99E6-C74851FF99E5}" xr6:coauthVersionLast="46" xr6:coauthVersionMax="46" xr10:uidLastSave="{00000000-0000-0000-0000-000000000000}"/>
  <bookViews>
    <workbookView xWindow="-120" yWindow="-120" windowWidth="20730" windowHeight="11160" tabRatio="793" activeTab="8" xr2:uid="{00000000-000D-0000-FFFF-FFFF00000000}"/>
  </bookViews>
  <sheets>
    <sheet name="Fórmulas" sheetId="19" r:id="rId1"/>
    <sheet name="Indices_2021" sheetId="2" r:id="rId2"/>
    <sheet name="Volume_2020" sheetId="4" r:id="rId3"/>
    <sheet name="Bonus Desconto" sheetId="6" r:id="rId4"/>
    <sheet name="VPA 2021" sheetId="13" r:id="rId5"/>
    <sheet name="VPB 2021" sheetId="14" r:id="rId6"/>
    <sheet name="CF 2021" sheetId="26" r:id="rId7"/>
    <sheet name="Tarifa_contingência" sheetId="28" r:id="rId8"/>
    <sheet name="RTA 2021" sheetId="15" r:id="rId9"/>
    <sheet name="RTP 2020" sheetId="2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R57_2007" localSheetId="0">[1]Parâmetros!#REF!</definedName>
    <definedName name="_R57_2007" localSheetId="9">[1]Parâmetros!#REF!</definedName>
    <definedName name="_R57_2007" localSheetId="7">[1]Parâmetros!#REF!</definedName>
    <definedName name="_R57_2007">[1]Parâmetros!#REF!</definedName>
    <definedName name="AdicionalIR" localSheetId="0">#REF!</definedName>
    <definedName name="AdicionalIR" localSheetId="9">#REF!</definedName>
    <definedName name="AdicionalIR" localSheetId="7">#REF!</definedName>
    <definedName name="AdicionalIR">#REF!</definedName>
    <definedName name="AlugCentral">'[2]E-AdmSist'!$D$9</definedName>
    <definedName name="AlugCom">'[2]E-AdmSist'!$D$11</definedName>
    <definedName name="AlugETA_ETE">'[2]E-AdmSist'!$D$12</definedName>
    <definedName name="AlugPA">'[2]E-AdmSist'!$D$10</definedName>
    <definedName name="_xlnm.Print_Area" localSheetId="0">#REF!</definedName>
    <definedName name="_xlnm.Print_Area" localSheetId="8">'RTA 2021'!$AO$19:$AQ$22</definedName>
    <definedName name="_xlnm.Print_Area" localSheetId="9">#REF!</definedName>
    <definedName name="_xlnm.Print_Area" localSheetId="7">#REF!</definedName>
    <definedName name="_xlnm.Print_Area">#REF!</definedName>
    <definedName name="AreaEst">'[2]E-AdmSist'!$I$9</definedName>
    <definedName name="AreaLabC">'[2]E-AdmSist'!$D$21</definedName>
    <definedName name="AreaOficC">'[2]E-AdmSist'!$D$22</definedName>
    <definedName name="B" localSheetId="0">[3]DRE!#REF!</definedName>
    <definedName name="B" localSheetId="9">[3]DRE!#REF!</definedName>
    <definedName name="B" localSheetId="7">[3]DRE!#REF!</definedName>
    <definedName name="B">[3]DRE!#REF!</definedName>
    <definedName name="BaseIR" localSheetId="0">#REF!</definedName>
    <definedName name="BaseIR" localSheetId="9">#REF!</definedName>
    <definedName name="BaseIR" localSheetId="7">#REF!</definedName>
    <definedName name="BaseIR">#REF!</definedName>
    <definedName name="Beneficio">'[2]P-Indices'!$D$20</definedName>
    <definedName name="Caixa" localSheetId="9">#REF!</definedName>
    <definedName name="Caixa" localSheetId="7">#REF!</definedName>
    <definedName name="Caixa">#REF!</definedName>
    <definedName name="Capacitação">'[2]P-Indices'!$D$18</definedName>
    <definedName name="CAPM" localSheetId="0">#REF!</definedName>
    <definedName name="CAPM" localSheetId="9">#REF!</definedName>
    <definedName name="CAPM" localSheetId="7">#REF!</definedName>
    <definedName name="CAPM">#REF!</definedName>
    <definedName name="CRA">'[2]C-Teleatendimento'!$D$9</definedName>
    <definedName name="CS_NEG" localSheetId="0">#REF!</definedName>
    <definedName name="CS_NEG" localSheetId="9">#REF!</definedName>
    <definedName name="CS_NEG" localSheetId="7">#REF!</definedName>
    <definedName name="CS_NEG">#REF!</definedName>
    <definedName name="CS_PERC" localSheetId="0">#REF!</definedName>
    <definedName name="CS_PERC" localSheetId="9">#REF!</definedName>
    <definedName name="CS_PERC" localSheetId="7">#REF!</definedName>
    <definedName name="CS_PERC">#REF!</definedName>
    <definedName name="CTIPO" localSheetId="0">#REF!</definedName>
    <definedName name="CTIPO" localSheetId="9">#REF!</definedName>
    <definedName name="CTIPO" localSheetId="7">#REF!</definedName>
    <definedName name="CTIPO">#REF!</definedName>
    <definedName name="CustAnalise">'[2]E-AdmSist'!$D$23</definedName>
    <definedName name="CustElet">'[2]E-AdmSist'!$D$18</definedName>
    <definedName name="CustEst">'[2]E-AdmSist'!$I$10</definedName>
    <definedName name="CustLimp">'[2]E-AdmSist'!$D$19</definedName>
    <definedName name="CustMovel">'[2]E-AdmSist'!$D$15</definedName>
    <definedName name="CustTel">'[2]E-AdmSist'!$D$17</definedName>
    <definedName name="Decimo_Terceiro">'[2]P-Indices'!$D$12</definedName>
    <definedName name="Deposito">'[2]E-AdmSist'!$D$16</definedName>
    <definedName name="dia_TrabMesCom">'[2]P-Indices'!$D$25</definedName>
    <definedName name="dia_TrabSem">'[2]P-Indices'!$D$24</definedName>
    <definedName name="Equipes">'[2]P-Equipes'!$B$11:$AV$105</definedName>
    <definedName name="FC_ElevEsg">'[2]E-Elevatorias'!$M$176</definedName>
    <definedName name="FC_ETE">'[2]E-ETA-ETE'!$J$86</definedName>
    <definedName name="fdgf">'[2]P-Indices'!$D$15</definedName>
    <definedName name="Ferias">'[2]P-Indices'!$D$13</definedName>
    <definedName name="FGTS">'[2]P-Indices'!$D$10</definedName>
    <definedName name="FreqAtCom">'[2]E-Estrutura'!$D$458</definedName>
    <definedName name="G" localSheetId="0">#REF!</definedName>
    <definedName name="G" localSheetId="9">#REF!</definedName>
    <definedName name="G" localSheetId="7">#REF!</definedName>
    <definedName name="G">#REF!</definedName>
    <definedName name="gfhfgh">'[2]E-AdmSist'!$D$44</definedName>
    <definedName name="GR" localSheetId="0">#REF!</definedName>
    <definedName name="GR" localSheetId="9">#REF!</definedName>
    <definedName name="GR" localSheetId="7">#REF!</definedName>
    <definedName name="GR">#REF!</definedName>
    <definedName name="h_ElevEnerg">'[2]E-Elevatorias'!$D$10</definedName>
    <definedName name="h_OpEnerg">'[2]E-ETA-ETE'!$D$34</definedName>
    <definedName name="h_TrabDia">'[2]P-Indices'!$D$22</definedName>
    <definedName name="h_TrabOeM">'[2]P-Indices'!$D$23</definedName>
    <definedName name="h_VecDia">'[2]P-Indices'!$D$28</definedName>
    <definedName name="HoraExtra">'[2]P-Indices'!$D$19</definedName>
    <definedName name="IGPM_1">[2]Controle!$D$13</definedName>
    <definedName name="IGPM_2">[2]Controle!$D$16</definedName>
    <definedName name="Inativos">'[2]E-Economias'!$L$26</definedName>
    <definedName name="inflation" localSheetId="0">#REF!</definedName>
    <definedName name="inflation" localSheetId="9">#REF!</definedName>
    <definedName name="inflation" localSheetId="7">#REF!</definedName>
    <definedName name="inflation">#REF!</definedName>
    <definedName name="Insalub_Max">'[2]P-Indices'!$D$17</definedName>
    <definedName name="Insalub_Med">'[2]P-Indices'!$D$16</definedName>
    <definedName name="Insalub_Min">'[2]P-Indices'!$D$15</definedName>
    <definedName name="INSS">'[2]P-Indices'!$D$9</definedName>
    <definedName name="InsumEscrit">'[2]E-AdmSist'!$D$20</definedName>
    <definedName name="InvHardPC">'[2]E-AdmSist'!$D$44</definedName>
    <definedName name="InvSoftPC">'[2]E-AdmSist'!$D$43</definedName>
    <definedName name="IPCA_1">[2]Controle!$D$12</definedName>
    <definedName name="IPCA_2">[2]Controle!$D$15</definedName>
    <definedName name="ir_perpetuo" localSheetId="0">#REF!</definedName>
    <definedName name="ir_perpetuo" localSheetId="9">#REF!</definedName>
    <definedName name="ir_perpetuo" localSheetId="7">#REF!</definedName>
    <definedName name="ir_perpetuo">#REF!</definedName>
    <definedName name="Lig_Ativ_Esg">'[2]E-Economias'!$J$39</definedName>
    <definedName name="Ligacoes_Tot">'[2]E-Economias'!$J$26</definedName>
    <definedName name="Lucro" localSheetId="0">#REF!</definedName>
    <definedName name="Lucro" localSheetId="9">#REF!</definedName>
    <definedName name="Lucro" localSheetId="7">#REF!</definedName>
    <definedName name="Lucro">#REF!</definedName>
    <definedName name="m2_Acom">'[2]E-AdmSist'!$D$14</definedName>
    <definedName name="m2_Indiv">'[2]E-AdmSist'!$D$13</definedName>
    <definedName name="Maquina">'[2]P-Veiculos'!$C$33:$W$47</definedName>
    <definedName name="MESES_A_PROJETAR" localSheetId="0">#REF!</definedName>
    <definedName name="MESES_A_PROJETAR" localSheetId="9">#REF!</definedName>
    <definedName name="MESES_A_PROJETAR" localSheetId="7">#REF!</definedName>
    <definedName name="MESES_A_PROJETAR">#REF!</definedName>
    <definedName name="MobDCom">'[2]E-AdmSist'!$I$13</definedName>
    <definedName name="MobDEng">'[2]E-AdmSist'!$I$15</definedName>
    <definedName name="MobDGest">'[2]E-AdmSist'!$I$16</definedName>
    <definedName name="MobPres">'[2]E-AdmSist'!$I$12</definedName>
    <definedName name="model" localSheetId="0">[4]Controle!#REF!</definedName>
    <definedName name="model" localSheetId="9">[4]Controle!#REF!</definedName>
    <definedName name="model" localSheetId="7">[4]Controle!#REF!</definedName>
    <definedName name="model">[4]Controle!#REF!</definedName>
    <definedName name="moeda" localSheetId="0">#REF!</definedName>
    <definedName name="moeda" localSheetId="9">#REF!</definedName>
    <definedName name="moeda" localSheetId="7">#REF!</definedName>
    <definedName name="moeda">#REF!</definedName>
    <definedName name="o">'[5]T-Bonds'!$E$6</definedName>
    <definedName name="oi" localSheetId="9">#REF!</definedName>
    <definedName name="oi" localSheetId="7">#REF!</definedName>
    <definedName name="oi">#REF!</definedName>
    <definedName name="Pensao">'[2]P-Indices'!$D$21</definedName>
    <definedName name="PeriodoTaxa" localSheetId="0">#REF!</definedName>
    <definedName name="PeriodoTaxa" localSheetId="9">#REF!</definedName>
    <definedName name="PeriodoTaxa" localSheetId="7">#REF!</definedName>
    <definedName name="PeriodoTaxa">#REF!</definedName>
    <definedName name="perpetuo" localSheetId="0">[3]DRE!#REF!</definedName>
    <definedName name="perpetuo" localSheetId="9">[3]DRE!#REF!</definedName>
    <definedName name="perpetuo" localSheetId="7">[3]DRE!#REF!</definedName>
    <definedName name="perpetuo">[3]DRE!#REF!</definedName>
    <definedName name="ponderada_abaixo" localSheetId="0">#REF!</definedName>
    <definedName name="ponderada_abaixo" localSheetId="9">#REF!</definedName>
    <definedName name="ponderada_abaixo" localSheetId="7">#REF!</definedName>
    <definedName name="ponderada_abaixo">#REF!</definedName>
    <definedName name="ponderada_acima" localSheetId="0">#REF!</definedName>
    <definedName name="ponderada_acima" localSheetId="9">#REF!</definedName>
    <definedName name="ponderada_acima" localSheetId="7">#REF!</definedName>
    <definedName name="ponderada_acima">#REF!</definedName>
    <definedName name="ponderada_simples" localSheetId="0">#REF!</definedName>
    <definedName name="ponderada_simples" localSheetId="9">#REF!</definedName>
    <definedName name="ponderada_simples" localSheetId="7">#REF!</definedName>
    <definedName name="ponderada_simples">#REF!</definedName>
    <definedName name="PREJFISC_ACUM" localSheetId="0">#REF!</definedName>
    <definedName name="PREJFISC_ACUM" localSheetId="9">#REF!</definedName>
    <definedName name="PREJFISC_ACUM" localSheetId="7">#REF!</definedName>
    <definedName name="PREJFISC_ACUM">#REF!</definedName>
    <definedName name="ProdQuim">'[2]E-ETA-ETE'!$C$9:$D$29</definedName>
    <definedName name="SalarioMinimo">'[2]P-Indices'!$D$11</definedName>
    <definedName name="Salarios">'[2]P-Salarios'!$C$9:$V$60</definedName>
    <definedName name="sem_TrabAno">'[2]P-Indices'!$D$26</definedName>
    <definedName name="sem_TrabVEC">'[2]P-Indices'!$D$27</definedName>
    <definedName name="simple" localSheetId="0">[4]BETA!#REF!</definedName>
    <definedName name="simple" localSheetId="9">[4]BETA!#REF!</definedName>
    <definedName name="simple" localSheetId="7">[4]BETA!#REF!</definedName>
    <definedName name="simple">[4]BETA!#REF!</definedName>
    <definedName name="TarifConsElev">'[2]E-Elevatorias'!$D$9</definedName>
    <definedName name="TarifConsOp">'[2]E-ETA-ETE'!$D$33</definedName>
    <definedName name="TarifDemElev">'[2]E-Elevatorias'!$D$8</definedName>
    <definedName name="TarifDemOp">'[2]E-ETA-ETE'!$D$32</definedName>
    <definedName name="TaxaDesconto" localSheetId="0">#REF!</definedName>
    <definedName name="TaxaDesconto" localSheetId="9">#REF!</definedName>
    <definedName name="TaxaDesconto" localSheetId="7">#REF!</definedName>
    <definedName name="TaxaDesconto">#REF!</definedName>
    <definedName name="_xlnm.Print_Titles" localSheetId="0">#REF!</definedName>
    <definedName name="_xlnm.Print_Titles" localSheetId="9">#REF!</definedName>
    <definedName name="_xlnm.Print_Titles" localSheetId="7">#REF!</definedName>
    <definedName name="_xlnm.Print_Titles">#REF!</definedName>
    <definedName name="TMA">'[2]E-Estrutura'!$D$457</definedName>
    <definedName name="Tx_Desc" localSheetId="0">[3]DRE!#REF!</definedName>
    <definedName name="Tx_Desc" localSheetId="9">[3]DRE!#REF!</definedName>
    <definedName name="Tx_Desc" localSheetId="7">[3]DRE!#REF!</definedName>
    <definedName name="Tx_Desc">[3]DRE!#REF!</definedName>
    <definedName name="Veiculos">'[2]P-Veiculos'!$C$13:$W$27</definedName>
    <definedName name="VidaHard">'[2]E-AdmSist'!$E$34</definedName>
    <definedName name="VidaHardPC">'[2]E-AdmSist'!$E$36</definedName>
    <definedName name="VidaSoft">'[2]E-AdmSist'!$E$33</definedName>
    <definedName name="VidaSoftPC">'[2]E-AdmSist'!$E$35</definedName>
    <definedName name="WACC">[2]Controle!$D$9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5" l="1"/>
  <c r="H24" i="15"/>
  <c r="H21" i="15"/>
  <c r="H32" i="26" l="1"/>
  <c r="H28" i="26"/>
  <c r="I28" i="26" s="1"/>
  <c r="D32" i="28"/>
  <c r="D25" i="28"/>
  <c r="C25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C29" i="13"/>
  <c r="H11" i="26"/>
  <c r="H10" i="26"/>
  <c r="S12" i="26"/>
  <c r="S11" i="26"/>
  <c r="K13" i="6"/>
  <c r="H51" i="4"/>
  <c r="H48" i="4"/>
  <c r="H49" i="4" s="1"/>
  <c r="H45" i="4"/>
  <c r="H46" i="4" s="1"/>
  <c r="H42" i="4"/>
  <c r="H107" i="4" s="1"/>
  <c r="Q81" i="4"/>
  <c r="Q78" i="4"/>
  <c r="Q75" i="4"/>
  <c r="Q73" i="4"/>
  <c r="Q72" i="4"/>
  <c r="Q71" i="4"/>
  <c r="Q70" i="4"/>
  <c r="Q69" i="4"/>
  <c r="Q68" i="4"/>
  <c r="Q67" i="4"/>
  <c r="Q66" i="4"/>
  <c r="Q58" i="4"/>
  <c r="Q59" i="4"/>
  <c r="Q60" i="4"/>
  <c r="Q61" i="4"/>
  <c r="Q62" i="4"/>
  <c r="Q63" i="4"/>
  <c r="Q64" i="4"/>
  <c r="Q57" i="4"/>
  <c r="H88" i="4"/>
  <c r="H89" i="4"/>
  <c r="H90" i="4"/>
  <c r="H91" i="4"/>
  <c r="H92" i="4"/>
  <c r="H93" i="4"/>
  <c r="H94" i="4"/>
  <c r="H95" i="4"/>
  <c r="H97" i="4"/>
  <c r="H98" i="4"/>
  <c r="H99" i="4"/>
  <c r="H100" i="4"/>
  <c r="H101" i="4"/>
  <c r="H102" i="4"/>
  <c r="H103" i="4"/>
  <c r="H104" i="4"/>
  <c r="H106" i="4"/>
  <c r="H109" i="4"/>
  <c r="H112" i="4"/>
  <c r="H113" i="4"/>
  <c r="H114" i="4" s="1"/>
  <c r="H65" i="4"/>
  <c r="H74" i="4"/>
  <c r="H77" i="4"/>
  <c r="H80" i="4"/>
  <c r="H83" i="4"/>
  <c r="Q47" i="4"/>
  <c r="Q44" i="4"/>
  <c r="Q41" i="4"/>
  <c r="Q39" i="4"/>
  <c r="Q38" i="4"/>
  <c r="Q37" i="4"/>
  <c r="Q36" i="4"/>
  <c r="Q35" i="4"/>
  <c r="Q34" i="4"/>
  <c r="Q33" i="4"/>
  <c r="Q32" i="4"/>
  <c r="Q24" i="4"/>
  <c r="Q25" i="4"/>
  <c r="Q26" i="4"/>
  <c r="Q27" i="4"/>
  <c r="Q28" i="4"/>
  <c r="Q29" i="4"/>
  <c r="Q30" i="4"/>
  <c r="Q23" i="4"/>
  <c r="H31" i="4"/>
  <c r="H40" i="4"/>
  <c r="I30" i="26"/>
  <c r="I31" i="26"/>
  <c r="I29" i="26"/>
  <c r="F25" i="28" l="1"/>
  <c r="D27" i="28" s="1"/>
  <c r="D29" i="28" s="1"/>
  <c r="D35" i="28" s="1"/>
  <c r="D37" i="28" s="1"/>
  <c r="H108" i="4"/>
  <c r="H110" i="4"/>
  <c r="H111" i="4" s="1"/>
  <c r="H43" i="4"/>
  <c r="H52" i="4" s="1"/>
  <c r="Q40" i="4"/>
  <c r="H96" i="4"/>
  <c r="H105" i="4"/>
  <c r="Q74" i="4"/>
  <c r="Q65" i="4"/>
  <c r="H84" i="4"/>
  <c r="Q31" i="4"/>
  <c r="H50" i="4"/>
  <c r="H115" i="4" l="1"/>
  <c r="H116" i="4"/>
  <c r="I38" i="26"/>
  <c r="H33" i="15" l="1"/>
  <c r="H20" i="15"/>
  <c r="L36" i="26"/>
  <c r="E35" i="27"/>
  <c r="E24" i="27"/>
  <c r="E20" i="27"/>
  <c r="I18" i="26"/>
  <c r="I17" i="26"/>
  <c r="I16" i="26"/>
  <c r="I15" i="26"/>
  <c r="I14" i="26"/>
  <c r="I13" i="26"/>
  <c r="I12" i="26"/>
  <c r="I11" i="26"/>
  <c r="I10" i="26"/>
  <c r="I9" i="26"/>
  <c r="I8" i="26"/>
  <c r="I7" i="26"/>
  <c r="E41" i="27" l="1"/>
  <c r="E45" i="27" s="1"/>
  <c r="E49" i="27" s="1"/>
  <c r="E53" i="27" s="1"/>
  <c r="G33" i="27"/>
  <c r="K10" i="4"/>
  <c r="J30" i="2"/>
  <c r="AA9" i="26"/>
  <c r="C18" i="13" s="1"/>
  <c r="L32" i="26" l="1"/>
  <c r="H33" i="26" s="1"/>
  <c r="E10" i="4"/>
  <c r="F10" i="4"/>
  <c r="G10" i="4"/>
  <c r="H10" i="4"/>
  <c r="I10" i="4"/>
  <c r="J10" i="4"/>
  <c r="L10" i="4"/>
  <c r="M10" i="4"/>
  <c r="N10" i="4"/>
  <c r="O10" i="4"/>
  <c r="E11" i="4"/>
  <c r="F11" i="4"/>
  <c r="G11" i="4"/>
  <c r="H11" i="4"/>
  <c r="I11" i="4"/>
  <c r="J11" i="4"/>
  <c r="K11" i="4"/>
  <c r="L11" i="4"/>
  <c r="M11" i="4"/>
  <c r="N11" i="4"/>
  <c r="O11" i="4"/>
  <c r="D11" i="4"/>
  <c r="D10" i="4"/>
  <c r="Z15" i="26" l="1"/>
  <c r="Y15" i="26"/>
  <c r="X15" i="26"/>
  <c r="W15" i="26"/>
  <c r="V15" i="26"/>
  <c r="U15" i="26"/>
  <c r="T15" i="26"/>
  <c r="S15" i="26"/>
  <c r="R15" i="26"/>
  <c r="Q15" i="26"/>
  <c r="P15" i="26"/>
  <c r="O15" i="26"/>
  <c r="Z10" i="26"/>
  <c r="Y10" i="26"/>
  <c r="X10" i="26"/>
  <c r="W10" i="26"/>
  <c r="V10" i="26"/>
  <c r="U10" i="26"/>
  <c r="T10" i="26"/>
  <c r="R10" i="26"/>
  <c r="Q10" i="26"/>
  <c r="P10" i="26"/>
  <c r="O10" i="26"/>
  <c r="AA7" i="26"/>
  <c r="M5" i="26"/>
  <c r="H34" i="26" l="1"/>
  <c r="AA15" i="26"/>
  <c r="C13" i="13" s="1"/>
  <c r="AA8" i="26"/>
  <c r="S10" i="26"/>
  <c r="H39" i="26" l="1"/>
  <c r="AA10" i="26"/>
  <c r="C17" i="13"/>
  <c r="C19" i="13" s="1"/>
  <c r="N8" i="6"/>
  <c r="M8" i="6"/>
  <c r="L8" i="6"/>
  <c r="K8" i="6"/>
  <c r="H40" i="26" l="1"/>
  <c r="P82" i="4"/>
  <c r="P81" i="4"/>
  <c r="P79" i="4"/>
  <c r="P78" i="4"/>
  <c r="P76" i="4"/>
  <c r="P75" i="4"/>
  <c r="P51" i="4"/>
  <c r="P48" i="4"/>
  <c r="P47" i="4"/>
  <c r="P45" i="4"/>
  <c r="P44" i="4"/>
  <c r="P42" i="4"/>
  <c r="P41" i="4"/>
  <c r="I34" i="26" l="1"/>
  <c r="I39" i="26" s="1"/>
  <c r="O51" i="4"/>
  <c r="N51" i="4"/>
  <c r="M51" i="4"/>
  <c r="L51" i="4"/>
  <c r="K51" i="4"/>
  <c r="G51" i="4"/>
  <c r="F51" i="4"/>
  <c r="E51" i="4"/>
  <c r="D51" i="4"/>
  <c r="Q51" i="4" s="1"/>
  <c r="R51" i="4" l="1"/>
  <c r="O82" i="4" l="1"/>
  <c r="O81" i="4"/>
  <c r="O79" i="4"/>
  <c r="O78" i="4"/>
  <c r="O76" i="4"/>
  <c r="O75" i="4"/>
  <c r="O48" i="4"/>
  <c r="O47" i="4"/>
  <c r="O45" i="4"/>
  <c r="O44" i="4"/>
  <c r="O42" i="4"/>
  <c r="O41" i="4"/>
  <c r="N82" i="4"/>
  <c r="N81" i="4"/>
  <c r="N79" i="4"/>
  <c r="N78" i="4"/>
  <c r="N76" i="4"/>
  <c r="N75" i="4"/>
  <c r="N48" i="4"/>
  <c r="N47" i="4"/>
  <c r="N45" i="4"/>
  <c r="N44" i="4"/>
  <c r="N42" i="4"/>
  <c r="N41" i="4"/>
  <c r="M82" i="4"/>
  <c r="M81" i="4"/>
  <c r="M79" i="4"/>
  <c r="M78" i="4"/>
  <c r="M76" i="4"/>
  <c r="M75" i="4"/>
  <c r="M48" i="4"/>
  <c r="M47" i="4"/>
  <c r="M45" i="4"/>
  <c r="M44" i="4"/>
  <c r="M42" i="4"/>
  <c r="M41" i="4"/>
  <c r="L82" i="4"/>
  <c r="L81" i="4"/>
  <c r="L79" i="4"/>
  <c r="L78" i="4"/>
  <c r="L76" i="4"/>
  <c r="L75" i="4"/>
  <c r="L48" i="4"/>
  <c r="L47" i="4"/>
  <c r="L45" i="4"/>
  <c r="L44" i="4"/>
  <c r="L42" i="4"/>
  <c r="L41" i="4"/>
  <c r="K82" i="4"/>
  <c r="K81" i="4"/>
  <c r="K79" i="4"/>
  <c r="K78" i="4"/>
  <c r="K76" i="4"/>
  <c r="K75" i="4"/>
  <c r="K48" i="4"/>
  <c r="K47" i="4"/>
  <c r="K45" i="4"/>
  <c r="K44" i="4"/>
  <c r="K42" i="4"/>
  <c r="K41" i="4"/>
  <c r="J82" i="4"/>
  <c r="R82" i="4" s="1"/>
  <c r="J81" i="4"/>
  <c r="J79" i="4"/>
  <c r="J78" i="4"/>
  <c r="R78" i="4" s="1"/>
  <c r="J76" i="4"/>
  <c r="J75" i="4"/>
  <c r="J48" i="4"/>
  <c r="J47" i="4"/>
  <c r="J45" i="4"/>
  <c r="R45" i="4" s="1"/>
  <c r="J44" i="4"/>
  <c r="J42" i="4"/>
  <c r="J41" i="4"/>
  <c r="R71" i="4"/>
  <c r="R70" i="4"/>
  <c r="R69" i="4"/>
  <c r="R68" i="4"/>
  <c r="R67" i="4"/>
  <c r="R66" i="4"/>
  <c r="R62" i="4"/>
  <c r="R61" i="4"/>
  <c r="R60" i="4"/>
  <c r="R59" i="4"/>
  <c r="R58" i="4"/>
  <c r="R57" i="4"/>
  <c r="R37" i="4"/>
  <c r="R36" i="4"/>
  <c r="R35" i="4"/>
  <c r="R34" i="4"/>
  <c r="R33" i="4"/>
  <c r="R32" i="4"/>
  <c r="R24" i="4"/>
  <c r="R25" i="4"/>
  <c r="R26" i="4"/>
  <c r="R27" i="4"/>
  <c r="R28" i="4"/>
  <c r="R23" i="4"/>
  <c r="G82" i="4"/>
  <c r="G79" i="4"/>
  <c r="G76" i="4"/>
  <c r="G48" i="4"/>
  <c r="G45" i="4"/>
  <c r="G42" i="4"/>
  <c r="F82" i="4"/>
  <c r="F79" i="4"/>
  <c r="F76" i="4"/>
  <c r="F48" i="4"/>
  <c r="F45" i="4"/>
  <c r="R75" i="4" l="1"/>
  <c r="R44" i="4"/>
  <c r="R46" i="4" s="1"/>
  <c r="R81" i="4"/>
  <c r="R83" i="4" s="1"/>
  <c r="R79" i="4"/>
  <c r="R80" i="4" s="1"/>
  <c r="R48" i="4"/>
  <c r="R47" i="4"/>
  <c r="R41" i="4"/>
  <c r="R76" i="4"/>
  <c r="R74" i="4"/>
  <c r="R65" i="4"/>
  <c r="R40" i="4"/>
  <c r="R31" i="4"/>
  <c r="C13" i="26" s="1"/>
  <c r="R77" i="4" l="1"/>
  <c r="H36" i="15"/>
  <c r="J38" i="26"/>
  <c r="S65" i="4"/>
  <c r="R42" i="4"/>
  <c r="R43" i="4" s="1"/>
  <c r="R49" i="4"/>
  <c r="F42" i="4" l="1"/>
  <c r="F40" i="4"/>
  <c r="E82" i="4" l="1"/>
  <c r="E79" i="4"/>
  <c r="E76" i="4"/>
  <c r="E48" i="4"/>
  <c r="E45" i="4"/>
  <c r="E42" i="4"/>
  <c r="D82" i="4"/>
  <c r="Q82" i="4" s="1"/>
  <c r="Q83" i="4" s="1"/>
  <c r="D79" i="4"/>
  <c r="Q79" i="4" s="1"/>
  <c r="Q80" i="4" s="1"/>
  <c r="D76" i="4"/>
  <c r="D48" i="4"/>
  <c r="Q48" i="4" s="1"/>
  <c r="Q49" i="4" s="1"/>
  <c r="D45" i="4"/>
  <c r="D42" i="4"/>
  <c r="E22" i="2"/>
  <c r="F11" i="14" s="1"/>
  <c r="Q42" i="4" l="1"/>
  <c r="Q43" i="4" s="1"/>
  <c r="Q45" i="4"/>
  <c r="Q46" i="4" s="1"/>
  <c r="Q76" i="4"/>
  <c r="Q77" i="4" s="1"/>
  <c r="R84" i="4" l="1"/>
  <c r="R52" i="4"/>
  <c r="R50" i="4"/>
  <c r="C22" i="2"/>
  <c r="C10" i="13" l="1"/>
  <c r="C12" i="13"/>
  <c r="F9" i="14"/>
  <c r="D31" i="4" l="1"/>
  <c r="D40" i="4"/>
  <c r="D43" i="4"/>
  <c r="D46" i="4"/>
  <c r="D49" i="4"/>
  <c r="E31" i="4"/>
  <c r="E40" i="4"/>
  <c r="E43" i="4"/>
  <c r="E46" i="4"/>
  <c r="E49" i="4"/>
  <c r="F31" i="4"/>
  <c r="F43" i="4"/>
  <c r="F46" i="4"/>
  <c r="F49" i="4"/>
  <c r="G31" i="4"/>
  <c r="G40" i="4"/>
  <c r="G43" i="4"/>
  <c r="G46" i="4"/>
  <c r="G49" i="4"/>
  <c r="J31" i="4"/>
  <c r="J40" i="4"/>
  <c r="J43" i="4"/>
  <c r="J46" i="4"/>
  <c r="J49" i="4"/>
  <c r="K31" i="4"/>
  <c r="K40" i="4"/>
  <c r="K43" i="4"/>
  <c r="K46" i="4"/>
  <c r="K49" i="4"/>
  <c r="L31" i="4"/>
  <c r="L40" i="4"/>
  <c r="L43" i="4"/>
  <c r="L46" i="4"/>
  <c r="L49" i="4"/>
  <c r="M31" i="4"/>
  <c r="M40" i="4"/>
  <c r="M43" i="4"/>
  <c r="M46" i="4"/>
  <c r="M49" i="4"/>
  <c r="N31" i="4"/>
  <c r="N40" i="4"/>
  <c r="N43" i="4"/>
  <c r="N46" i="4"/>
  <c r="N49" i="4"/>
  <c r="O31" i="4"/>
  <c r="O40" i="4"/>
  <c r="O43" i="4"/>
  <c r="O46" i="4"/>
  <c r="O49" i="4"/>
  <c r="P31" i="4"/>
  <c r="P40" i="4"/>
  <c r="P43" i="4"/>
  <c r="P46" i="4"/>
  <c r="P49" i="4"/>
  <c r="E65" i="4"/>
  <c r="E74" i="4"/>
  <c r="E77" i="4"/>
  <c r="E80" i="4"/>
  <c r="E83" i="4"/>
  <c r="G110" i="4"/>
  <c r="L110" i="4"/>
  <c r="P110" i="4"/>
  <c r="D65" i="4"/>
  <c r="F65" i="4"/>
  <c r="G65" i="4"/>
  <c r="J65" i="4"/>
  <c r="K65" i="4"/>
  <c r="L65" i="4"/>
  <c r="M65" i="4"/>
  <c r="N65" i="4"/>
  <c r="O65" i="4"/>
  <c r="P65" i="4"/>
  <c r="F83" i="4"/>
  <c r="J113" i="4"/>
  <c r="K83" i="4"/>
  <c r="N113" i="4"/>
  <c r="O83" i="4"/>
  <c r="F74" i="4"/>
  <c r="F77" i="4"/>
  <c r="F80" i="4"/>
  <c r="G74" i="4"/>
  <c r="G77" i="4"/>
  <c r="G83" i="4"/>
  <c r="J74" i="4"/>
  <c r="J77" i="4"/>
  <c r="J80" i="4"/>
  <c r="J83" i="4"/>
  <c r="K74" i="4"/>
  <c r="K77" i="4"/>
  <c r="K80" i="4"/>
  <c r="L74" i="4"/>
  <c r="L77" i="4"/>
  <c r="L83" i="4"/>
  <c r="M74" i="4"/>
  <c r="M77" i="4"/>
  <c r="M80" i="4"/>
  <c r="M83" i="4"/>
  <c r="N74" i="4"/>
  <c r="N77" i="4"/>
  <c r="N80" i="4"/>
  <c r="N83" i="4"/>
  <c r="O74" i="4"/>
  <c r="O77" i="4"/>
  <c r="O80" i="4"/>
  <c r="P74" i="4"/>
  <c r="P77" i="4"/>
  <c r="P83" i="4"/>
  <c r="D74" i="4"/>
  <c r="D77" i="4"/>
  <c r="D80" i="4"/>
  <c r="D83" i="4"/>
  <c r="D89" i="4"/>
  <c r="Q89" i="4" s="1"/>
  <c r="D90" i="4"/>
  <c r="D91" i="4"/>
  <c r="D92" i="4"/>
  <c r="D93" i="4"/>
  <c r="D94" i="4"/>
  <c r="D95" i="4"/>
  <c r="D88" i="4"/>
  <c r="D97" i="4"/>
  <c r="D98" i="4"/>
  <c r="D99" i="4"/>
  <c r="D100" i="4"/>
  <c r="D101" i="4"/>
  <c r="D102" i="4"/>
  <c r="D103" i="4"/>
  <c r="D104" i="4"/>
  <c r="D106" i="4"/>
  <c r="D107" i="4"/>
  <c r="D109" i="4"/>
  <c r="D110" i="4"/>
  <c r="D112" i="4"/>
  <c r="H8" i="6"/>
  <c r="H9" i="6"/>
  <c r="H10" i="6"/>
  <c r="H11" i="6"/>
  <c r="H12" i="6"/>
  <c r="H13" i="6"/>
  <c r="H14" i="6"/>
  <c r="H15" i="6"/>
  <c r="H16" i="6"/>
  <c r="H17" i="6"/>
  <c r="H18" i="6"/>
  <c r="H19" i="6"/>
  <c r="H23" i="6"/>
  <c r="H24" i="6"/>
  <c r="H25" i="6"/>
  <c r="H26" i="6"/>
  <c r="H27" i="6"/>
  <c r="H28" i="6"/>
  <c r="H29" i="6"/>
  <c r="H30" i="6"/>
  <c r="H31" i="6"/>
  <c r="H32" i="6"/>
  <c r="H33" i="6"/>
  <c r="H34" i="6"/>
  <c r="H38" i="6"/>
  <c r="H39" i="6"/>
  <c r="H40" i="6"/>
  <c r="H41" i="6"/>
  <c r="H42" i="6"/>
  <c r="H43" i="6"/>
  <c r="H44" i="6"/>
  <c r="H45" i="6"/>
  <c r="H46" i="6"/>
  <c r="H47" i="6"/>
  <c r="H48" i="6"/>
  <c r="H49" i="6"/>
  <c r="H53" i="6"/>
  <c r="H54" i="6"/>
  <c r="H55" i="6"/>
  <c r="H56" i="6"/>
  <c r="H57" i="6"/>
  <c r="H58" i="6"/>
  <c r="H59" i="6"/>
  <c r="H60" i="6"/>
  <c r="H61" i="6"/>
  <c r="H62" i="6"/>
  <c r="H63" i="6"/>
  <c r="H64" i="6"/>
  <c r="L21" i="2"/>
  <c r="I30" i="2" s="1"/>
  <c r="E90" i="4"/>
  <c r="K21" i="2"/>
  <c r="H30" i="2" s="1"/>
  <c r="I21" i="2"/>
  <c r="I31" i="2" s="1"/>
  <c r="H21" i="2"/>
  <c r="H31" i="2" s="1"/>
  <c r="J9" i="2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D22" i="4"/>
  <c r="D56" i="4" s="1"/>
  <c r="D87" i="4" s="1"/>
  <c r="D14" i="14"/>
  <c r="H23" i="15" s="1"/>
  <c r="D22" i="2"/>
  <c r="E88" i="4"/>
  <c r="E89" i="4"/>
  <c r="E91" i="4"/>
  <c r="E92" i="4"/>
  <c r="E93" i="4"/>
  <c r="E94" i="4"/>
  <c r="E95" i="4"/>
  <c r="E97" i="4"/>
  <c r="E98" i="4"/>
  <c r="E99" i="4"/>
  <c r="E100" i="4"/>
  <c r="E101" i="4"/>
  <c r="E102" i="4"/>
  <c r="E103" i="4"/>
  <c r="E104" i="4"/>
  <c r="E106" i="4"/>
  <c r="E107" i="4"/>
  <c r="E109" i="4"/>
  <c r="E110" i="4"/>
  <c r="E112" i="4"/>
  <c r="E113" i="4"/>
  <c r="F88" i="4"/>
  <c r="F89" i="4"/>
  <c r="F90" i="4"/>
  <c r="F91" i="4"/>
  <c r="F92" i="4"/>
  <c r="F93" i="4"/>
  <c r="F94" i="4"/>
  <c r="F95" i="4"/>
  <c r="F97" i="4"/>
  <c r="F98" i="4"/>
  <c r="F99" i="4"/>
  <c r="F100" i="4"/>
  <c r="F101" i="4"/>
  <c r="F102" i="4"/>
  <c r="F103" i="4"/>
  <c r="F104" i="4"/>
  <c r="F106" i="4"/>
  <c r="F107" i="4"/>
  <c r="F109" i="4"/>
  <c r="F110" i="4"/>
  <c r="F112" i="4"/>
  <c r="G88" i="4"/>
  <c r="G89" i="4"/>
  <c r="G90" i="4"/>
  <c r="G91" i="4"/>
  <c r="G92" i="4"/>
  <c r="G93" i="4"/>
  <c r="G94" i="4"/>
  <c r="G95" i="4"/>
  <c r="G97" i="4"/>
  <c r="G98" i="4"/>
  <c r="G99" i="4"/>
  <c r="G100" i="4"/>
  <c r="G101" i="4"/>
  <c r="G102" i="4"/>
  <c r="G103" i="4"/>
  <c r="G104" i="4"/>
  <c r="G106" i="4"/>
  <c r="G107" i="4"/>
  <c r="G109" i="4"/>
  <c r="G112" i="4"/>
  <c r="G113" i="4"/>
  <c r="J88" i="4"/>
  <c r="J89" i="4"/>
  <c r="J90" i="4"/>
  <c r="J91" i="4"/>
  <c r="J92" i="4"/>
  <c r="J93" i="4"/>
  <c r="J94" i="4"/>
  <c r="J95" i="4"/>
  <c r="J97" i="4"/>
  <c r="J98" i="4"/>
  <c r="J99" i="4"/>
  <c r="J100" i="4"/>
  <c r="J101" i="4"/>
  <c r="J102" i="4"/>
  <c r="J103" i="4"/>
  <c r="J104" i="4"/>
  <c r="J106" i="4"/>
  <c r="J107" i="4"/>
  <c r="J109" i="4"/>
  <c r="J110" i="4"/>
  <c r="J112" i="4"/>
  <c r="K88" i="4"/>
  <c r="K89" i="4"/>
  <c r="K90" i="4"/>
  <c r="K91" i="4"/>
  <c r="K92" i="4"/>
  <c r="K93" i="4"/>
  <c r="K94" i="4"/>
  <c r="K95" i="4"/>
  <c r="K97" i="4"/>
  <c r="K98" i="4"/>
  <c r="K99" i="4"/>
  <c r="K100" i="4"/>
  <c r="K101" i="4"/>
  <c r="K102" i="4"/>
  <c r="K103" i="4"/>
  <c r="K104" i="4"/>
  <c r="K106" i="4"/>
  <c r="K107" i="4"/>
  <c r="K109" i="4"/>
  <c r="K110" i="4"/>
  <c r="K112" i="4"/>
  <c r="L88" i="4"/>
  <c r="L89" i="4"/>
  <c r="L90" i="4"/>
  <c r="L91" i="4"/>
  <c r="L92" i="4"/>
  <c r="L93" i="4"/>
  <c r="L94" i="4"/>
  <c r="L95" i="4"/>
  <c r="L97" i="4"/>
  <c r="L98" i="4"/>
  <c r="L99" i="4"/>
  <c r="L100" i="4"/>
  <c r="L101" i="4"/>
  <c r="L102" i="4"/>
  <c r="L103" i="4"/>
  <c r="L104" i="4"/>
  <c r="L106" i="4"/>
  <c r="L107" i="4"/>
  <c r="L109" i="4"/>
  <c r="L112" i="4"/>
  <c r="L113" i="4"/>
  <c r="M88" i="4"/>
  <c r="M89" i="4"/>
  <c r="M90" i="4"/>
  <c r="M91" i="4"/>
  <c r="M92" i="4"/>
  <c r="M93" i="4"/>
  <c r="M94" i="4"/>
  <c r="M95" i="4"/>
  <c r="M97" i="4"/>
  <c r="M98" i="4"/>
  <c r="M99" i="4"/>
  <c r="M100" i="4"/>
  <c r="M101" i="4"/>
  <c r="M102" i="4"/>
  <c r="M103" i="4"/>
  <c r="M104" i="4"/>
  <c r="M106" i="4"/>
  <c r="M107" i="4"/>
  <c r="M109" i="4"/>
  <c r="M110" i="4"/>
  <c r="M112" i="4"/>
  <c r="M113" i="4"/>
  <c r="N88" i="4"/>
  <c r="N89" i="4"/>
  <c r="N90" i="4"/>
  <c r="N91" i="4"/>
  <c r="N92" i="4"/>
  <c r="N93" i="4"/>
  <c r="N94" i="4"/>
  <c r="N95" i="4"/>
  <c r="N97" i="4"/>
  <c r="N98" i="4"/>
  <c r="N99" i="4"/>
  <c r="N100" i="4"/>
  <c r="N101" i="4"/>
  <c r="N102" i="4"/>
  <c r="N103" i="4"/>
  <c r="N104" i="4"/>
  <c r="N106" i="4"/>
  <c r="N107" i="4"/>
  <c r="N109" i="4"/>
  <c r="N110" i="4"/>
  <c r="N112" i="4"/>
  <c r="O88" i="4"/>
  <c r="O89" i="4"/>
  <c r="O90" i="4"/>
  <c r="O91" i="4"/>
  <c r="O92" i="4"/>
  <c r="O93" i="4"/>
  <c r="O94" i="4"/>
  <c r="O95" i="4"/>
  <c r="O97" i="4"/>
  <c r="O98" i="4"/>
  <c r="O99" i="4"/>
  <c r="O100" i="4"/>
  <c r="O101" i="4"/>
  <c r="O102" i="4"/>
  <c r="O103" i="4"/>
  <c r="O104" i="4"/>
  <c r="O106" i="4"/>
  <c r="O107" i="4"/>
  <c r="O109" i="4"/>
  <c r="O110" i="4"/>
  <c r="O112" i="4"/>
  <c r="P88" i="4"/>
  <c r="P89" i="4"/>
  <c r="P90" i="4"/>
  <c r="P91" i="4"/>
  <c r="P92" i="4"/>
  <c r="P93" i="4"/>
  <c r="P94" i="4"/>
  <c r="P95" i="4"/>
  <c r="P97" i="4"/>
  <c r="P98" i="4"/>
  <c r="P99" i="4"/>
  <c r="P100" i="4"/>
  <c r="P101" i="4"/>
  <c r="P102" i="4"/>
  <c r="P103" i="4"/>
  <c r="P104" i="4"/>
  <c r="P106" i="4"/>
  <c r="P107" i="4"/>
  <c r="P109" i="4"/>
  <c r="P112" i="4"/>
  <c r="P113" i="4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E9" i="6"/>
  <c r="E10" i="6" s="1"/>
  <c r="E23" i="6"/>
  <c r="E38" i="6" s="1"/>
  <c r="E53" i="6" s="1"/>
  <c r="B9" i="6"/>
  <c r="B10" i="6" s="1"/>
  <c r="B23" i="6"/>
  <c r="B38" i="6"/>
  <c r="B53" i="6" s="1"/>
  <c r="E9" i="4"/>
  <c r="E22" i="4" s="1"/>
  <c r="E56" i="4" s="1"/>
  <c r="E87" i="4" s="1"/>
  <c r="B24" i="6"/>
  <c r="B39" i="6" s="1"/>
  <c r="B54" i="6" s="1"/>
  <c r="Q97" i="4" l="1"/>
  <c r="Q104" i="4"/>
  <c r="Q88" i="4"/>
  <c r="Q103" i="4"/>
  <c r="Q95" i="4"/>
  <c r="Q106" i="4"/>
  <c r="Q102" i="4"/>
  <c r="Q94" i="4"/>
  <c r="Q112" i="4"/>
  <c r="Q101" i="4"/>
  <c r="Q93" i="4"/>
  <c r="Q110" i="4"/>
  <c r="Q100" i="4"/>
  <c r="Q92" i="4"/>
  <c r="Q109" i="4"/>
  <c r="Q99" i="4"/>
  <c r="Q91" i="4"/>
  <c r="Q107" i="4"/>
  <c r="Q98" i="4"/>
  <c r="Q90" i="4"/>
  <c r="L52" i="4"/>
  <c r="V11" i="26" s="1"/>
  <c r="G52" i="4"/>
  <c r="R11" i="26" s="1"/>
  <c r="F52" i="4"/>
  <c r="Q11" i="26" s="1"/>
  <c r="O52" i="4"/>
  <c r="Y11" i="26" s="1"/>
  <c r="K52" i="4"/>
  <c r="U11" i="26" s="1"/>
  <c r="E52" i="4"/>
  <c r="P11" i="26" s="1"/>
  <c r="N52" i="4"/>
  <c r="X11" i="26" s="1"/>
  <c r="J52" i="4"/>
  <c r="T11" i="26" s="1"/>
  <c r="D52" i="4"/>
  <c r="O11" i="26" s="1"/>
  <c r="J114" i="4"/>
  <c r="M52" i="4"/>
  <c r="W11" i="26" s="1"/>
  <c r="E9" i="14"/>
  <c r="G9" i="14" s="1"/>
  <c r="E12" i="4"/>
  <c r="N10" i="6"/>
  <c r="N12" i="6" s="1"/>
  <c r="P52" i="4"/>
  <c r="Z11" i="26" s="1"/>
  <c r="N12" i="4"/>
  <c r="F12" i="4"/>
  <c r="M12" i="4"/>
  <c r="L108" i="4"/>
  <c r="O111" i="4"/>
  <c r="N114" i="4"/>
  <c r="M84" i="4"/>
  <c r="M111" i="4"/>
  <c r="K108" i="4"/>
  <c r="R110" i="4"/>
  <c r="J111" i="4"/>
  <c r="R112" i="4"/>
  <c r="R109" i="4"/>
  <c r="R107" i="4"/>
  <c r="R106" i="4"/>
  <c r="R102" i="4"/>
  <c r="R101" i="4"/>
  <c r="R99" i="4"/>
  <c r="R97" i="4"/>
  <c r="R100" i="4"/>
  <c r="R98" i="4"/>
  <c r="R93" i="4"/>
  <c r="R92" i="4"/>
  <c r="R91" i="4"/>
  <c r="R90" i="4"/>
  <c r="R89" i="4"/>
  <c r="R88" i="4"/>
  <c r="L114" i="4"/>
  <c r="P108" i="4"/>
  <c r="M108" i="4"/>
  <c r="N108" i="4"/>
  <c r="L105" i="4"/>
  <c r="P96" i="4"/>
  <c r="O108" i="4"/>
  <c r="G114" i="4"/>
  <c r="F84" i="4"/>
  <c r="F111" i="4"/>
  <c r="E111" i="4"/>
  <c r="E108" i="4"/>
  <c r="D111" i="4"/>
  <c r="C14" i="13"/>
  <c r="I12" i="4"/>
  <c r="D12" i="4"/>
  <c r="K12" i="4"/>
  <c r="J12" i="4"/>
  <c r="E12" i="14"/>
  <c r="M10" i="6"/>
  <c r="M12" i="6" s="1"/>
  <c r="L10" i="6"/>
  <c r="L12" i="6" s="1"/>
  <c r="K10" i="6"/>
  <c r="K12" i="6" s="1"/>
  <c r="E11" i="6"/>
  <c r="E25" i="6"/>
  <c r="E40" i="6" s="1"/>
  <c r="E55" i="6" s="1"/>
  <c r="E24" i="6"/>
  <c r="E39" i="6" s="1"/>
  <c r="E54" i="6" s="1"/>
  <c r="B11" i="6"/>
  <c r="B25" i="6"/>
  <c r="B40" i="6" s="1"/>
  <c r="B55" i="6" s="1"/>
  <c r="P114" i="4"/>
  <c r="J84" i="4"/>
  <c r="N111" i="4"/>
  <c r="D84" i="4"/>
  <c r="K111" i="4"/>
  <c r="F108" i="4"/>
  <c r="G108" i="4"/>
  <c r="J108" i="4"/>
  <c r="O84" i="4"/>
  <c r="D105" i="4"/>
  <c r="N84" i="4"/>
  <c r="J96" i="4"/>
  <c r="K84" i="4"/>
  <c r="M96" i="4"/>
  <c r="K96" i="4"/>
  <c r="O96" i="4"/>
  <c r="N96" i="4"/>
  <c r="G96" i="4"/>
  <c r="F96" i="4"/>
  <c r="E96" i="4"/>
  <c r="L96" i="4"/>
  <c r="M114" i="4"/>
  <c r="E114" i="4"/>
  <c r="L111" i="4"/>
  <c r="P111" i="4"/>
  <c r="P50" i="4"/>
  <c r="M105" i="4"/>
  <c r="N105" i="4"/>
  <c r="O105" i="4"/>
  <c r="E105" i="4"/>
  <c r="P105" i="4"/>
  <c r="G105" i="4"/>
  <c r="F105" i="4"/>
  <c r="J105" i="4"/>
  <c r="K105" i="4"/>
  <c r="D96" i="4"/>
  <c r="E50" i="4"/>
  <c r="N50" i="4"/>
  <c r="L50" i="4"/>
  <c r="F50" i="4"/>
  <c r="H12" i="4"/>
  <c r="O12" i="4"/>
  <c r="L12" i="4"/>
  <c r="D108" i="4"/>
  <c r="G12" i="4"/>
  <c r="P10" i="4"/>
  <c r="P11" i="4"/>
  <c r="E13" i="14"/>
  <c r="J31" i="2"/>
  <c r="F13" i="14"/>
  <c r="F12" i="14"/>
  <c r="E84" i="4"/>
  <c r="O50" i="4"/>
  <c r="K50" i="4"/>
  <c r="D50" i="4"/>
  <c r="G50" i="4"/>
  <c r="G111" i="4"/>
  <c r="M50" i="4"/>
  <c r="J50" i="4"/>
  <c r="F9" i="4"/>
  <c r="O113" i="4"/>
  <c r="O114" i="4" s="1"/>
  <c r="K113" i="4"/>
  <c r="K114" i="4" s="1"/>
  <c r="F113" i="4"/>
  <c r="F114" i="4" s="1"/>
  <c r="P80" i="4"/>
  <c r="P84" i="4" s="1"/>
  <c r="Z12" i="26" s="1"/>
  <c r="L80" i="4"/>
  <c r="L84" i="4" s="1"/>
  <c r="G80" i="4"/>
  <c r="G84" i="4" s="1"/>
  <c r="D113" i="4"/>
  <c r="E10" i="14"/>
  <c r="E11" i="14"/>
  <c r="Q113" i="4" l="1"/>
  <c r="Q114" i="4" s="1"/>
  <c r="Q108" i="4"/>
  <c r="E16" i="14"/>
  <c r="Z13" i="26"/>
  <c r="Z14" i="26" s="1"/>
  <c r="Z18" i="26" s="1"/>
  <c r="Y12" i="26"/>
  <c r="Y13" i="26" s="1"/>
  <c r="O116" i="4"/>
  <c r="H17" i="26" s="1"/>
  <c r="AA11" i="26"/>
  <c r="P12" i="26"/>
  <c r="P13" i="26" s="1"/>
  <c r="E116" i="4"/>
  <c r="H8" i="26" s="1"/>
  <c r="O12" i="26"/>
  <c r="O13" i="26" s="1"/>
  <c r="D116" i="4"/>
  <c r="H7" i="26" s="1"/>
  <c r="S13" i="26"/>
  <c r="S14" i="26" s="1"/>
  <c r="V12" i="26"/>
  <c r="V13" i="26" s="1"/>
  <c r="V14" i="26" s="1"/>
  <c r="L116" i="4"/>
  <c r="H14" i="26" s="1"/>
  <c r="U12" i="26"/>
  <c r="U13" i="26" s="1"/>
  <c r="K116" i="4"/>
  <c r="H13" i="26" s="1"/>
  <c r="X12" i="26"/>
  <c r="X13" i="26" s="1"/>
  <c r="N116" i="4"/>
  <c r="H16" i="26" s="1"/>
  <c r="Q12" i="26"/>
  <c r="Q13" i="26" s="1"/>
  <c r="F116" i="4"/>
  <c r="H9" i="26" s="1"/>
  <c r="W12" i="26"/>
  <c r="W13" i="26" s="1"/>
  <c r="M116" i="4"/>
  <c r="H15" i="26" s="1"/>
  <c r="R12" i="26"/>
  <c r="R13" i="26" s="1"/>
  <c r="G116" i="4"/>
  <c r="T12" i="26"/>
  <c r="T13" i="26" s="1"/>
  <c r="T14" i="26" s="1"/>
  <c r="J116" i="4"/>
  <c r="H12" i="26" s="1"/>
  <c r="P116" i="4"/>
  <c r="Q96" i="4"/>
  <c r="Q111" i="4"/>
  <c r="Q105" i="4"/>
  <c r="N115" i="4"/>
  <c r="M115" i="4"/>
  <c r="R113" i="4"/>
  <c r="R114" i="4" s="1"/>
  <c r="R111" i="4"/>
  <c r="R108" i="4"/>
  <c r="R105" i="4"/>
  <c r="R96" i="4"/>
  <c r="J115" i="4"/>
  <c r="P115" i="4"/>
  <c r="O115" i="4"/>
  <c r="C11" i="13"/>
  <c r="G12" i="14"/>
  <c r="G13" i="14"/>
  <c r="E12" i="6"/>
  <c r="E26" i="6"/>
  <c r="E41" i="6" s="1"/>
  <c r="E56" i="6" s="1"/>
  <c r="B12" i="6"/>
  <c r="B26" i="6"/>
  <c r="B41" i="6" s="1"/>
  <c r="B56" i="6" s="1"/>
  <c r="L115" i="4"/>
  <c r="E115" i="4"/>
  <c r="F115" i="4"/>
  <c r="G115" i="4"/>
  <c r="K115" i="4"/>
  <c r="J32" i="2"/>
  <c r="F10" i="14" s="1"/>
  <c r="G10" i="14" s="1"/>
  <c r="P12" i="4"/>
  <c r="D114" i="4"/>
  <c r="G9" i="4"/>
  <c r="F22" i="4"/>
  <c r="F56" i="4" s="1"/>
  <c r="F87" i="4" s="1"/>
  <c r="E14" i="14"/>
  <c r="G11" i="14"/>
  <c r="H30" i="15" l="1"/>
  <c r="T18" i="26"/>
  <c r="T17" i="26"/>
  <c r="T16" i="26"/>
  <c r="W14" i="26"/>
  <c r="P14" i="26"/>
  <c r="P18" i="26" s="1"/>
  <c r="Y14" i="26"/>
  <c r="S18" i="26"/>
  <c r="S16" i="26"/>
  <c r="S17" i="26"/>
  <c r="X14" i="26"/>
  <c r="X18" i="26" s="1"/>
  <c r="U14" i="26"/>
  <c r="U18" i="26" s="1"/>
  <c r="O14" i="26"/>
  <c r="R116" i="4"/>
  <c r="H18" i="26"/>
  <c r="Z16" i="26"/>
  <c r="Z17" i="26"/>
  <c r="Z19" i="26" s="1"/>
  <c r="F18" i="26" s="1"/>
  <c r="Q14" i="26"/>
  <c r="Q18" i="26" s="1"/>
  <c r="AA12" i="26"/>
  <c r="AA13" i="26" s="1"/>
  <c r="R14" i="26"/>
  <c r="R18" i="26" s="1"/>
  <c r="H35" i="15"/>
  <c r="E27" i="6"/>
  <c r="E42" i="6" s="1"/>
  <c r="E57" i="6" s="1"/>
  <c r="E13" i="6"/>
  <c r="B13" i="6"/>
  <c r="B27" i="6"/>
  <c r="B42" i="6" s="1"/>
  <c r="B57" i="6" s="1"/>
  <c r="G15" i="14"/>
  <c r="C19" i="14" s="1"/>
  <c r="C21" i="14" s="1"/>
  <c r="G14" i="14"/>
  <c r="G22" i="4"/>
  <c r="G56" i="4" s="1"/>
  <c r="G87" i="4" s="1"/>
  <c r="H9" i="4"/>
  <c r="H22" i="4" s="1"/>
  <c r="H56" i="4" s="1"/>
  <c r="H87" i="4" s="1"/>
  <c r="D115" i="4"/>
  <c r="D35" i="15" l="1"/>
  <c r="D27" i="15"/>
  <c r="T19" i="26"/>
  <c r="F12" i="26" s="1"/>
  <c r="AA14" i="26"/>
  <c r="O16" i="26"/>
  <c r="O17" i="26"/>
  <c r="W17" i="26"/>
  <c r="W16" i="26"/>
  <c r="R16" i="26"/>
  <c r="R17" i="26"/>
  <c r="R19" i="26" s="1"/>
  <c r="F10" i="26" s="1"/>
  <c r="S19" i="26"/>
  <c r="F11" i="26" s="1"/>
  <c r="V16" i="26"/>
  <c r="V17" i="26"/>
  <c r="Y16" i="26"/>
  <c r="Y17" i="26"/>
  <c r="H19" i="26"/>
  <c r="C11" i="26" s="1"/>
  <c r="U17" i="26"/>
  <c r="U19" i="26" s="1"/>
  <c r="F13" i="26" s="1"/>
  <c r="U16" i="26"/>
  <c r="Q16" i="26"/>
  <c r="Q17" i="26"/>
  <c r="Q19" i="26" s="1"/>
  <c r="F9" i="26" s="1"/>
  <c r="P17" i="26"/>
  <c r="P19" i="26" s="1"/>
  <c r="P16" i="26"/>
  <c r="V18" i="26"/>
  <c r="O18" i="26"/>
  <c r="X16" i="26"/>
  <c r="X17" i="26"/>
  <c r="X19" i="26" s="1"/>
  <c r="F16" i="26" s="1"/>
  <c r="Y18" i="26"/>
  <c r="W18" i="26"/>
  <c r="E28" i="6"/>
  <c r="E43" i="6" s="1"/>
  <c r="E58" i="6" s="1"/>
  <c r="E14" i="6"/>
  <c r="B14" i="6"/>
  <c r="B28" i="6"/>
  <c r="B43" i="6" s="1"/>
  <c r="B58" i="6" s="1"/>
  <c r="I9" i="4"/>
  <c r="R115" i="4"/>
  <c r="J39" i="26" l="1"/>
  <c r="J40" i="26" s="1"/>
  <c r="J30" i="26"/>
  <c r="J29" i="26"/>
  <c r="J31" i="26"/>
  <c r="J28" i="26"/>
  <c r="J33" i="26"/>
  <c r="J32" i="26"/>
  <c r="J34" i="26"/>
  <c r="I40" i="26"/>
  <c r="O19" i="26"/>
  <c r="F7" i="26" s="1"/>
  <c r="F8" i="26"/>
  <c r="D20" i="15"/>
  <c r="Y19" i="26"/>
  <c r="F17" i="26" s="1"/>
  <c r="W19" i="26"/>
  <c r="F15" i="26" s="1"/>
  <c r="AA17" i="26"/>
  <c r="AA16" i="26"/>
  <c r="C20" i="13" s="1"/>
  <c r="D22" i="15"/>
  <c r="D19" i="15"/>
  <c r="AA18" i="26"/>
  <c r="D21" i="15"/>
  <c r="C24" i="14" s="1"/>
  <c r="V19" i="26"/>
  <c r="F14" i="26" s="1"/>
  <c r="E15" i="6"/>
  <c r="E29" i="6"/>
  <c r="E44" i="6" s="1"/>
  <c r="E59" i="6" s="1"/>
  <c r="B29" i="6"/>
  <c r="B44" i="6" s="1"/>
  <c r="B59" i="6" s="1"/>
  <c r="B15" i="6"/>
  <c r="J22" i="4"/>
  <c r="J56" i="4" s="1"/>
  <c r="J87" i="4" s="1"/>
  <c r="J9" i="4"/>
  <c r="AA19" i="26" l="1"/>
  <c r="C12" i="26" s="1"/>
  <c r="D23" i="15"/>
  <c r="C25" i="14"/>
  <c r="H31" i="15" s="1"/>
  <c r="F19" i="26"/>
  <c r="C21" i="13"/>
  <c r="C33" i="13" s="1"/>
  <c r="E30" i="6"/>
  <c r="E45" i="6" s="1"/>
  <c r="E60" i="6" s="1"/>
  <c r="E16" i="6"/>
  <c r="B30" i="6"/>
  <c r="B45" i="6" s="1"/>
  <c r="B60" i="6" s="1"/>
  <c r="B16" i="6"/>
  <c r="K9" i="4"/>
  <c r="K22" i="4"/>
  <c r="K56" i="4" s="1"/>
  <c r="K87" i="4" s="1"/>
  <c r="G17" i="26" l="1"/>
  <c r="J17" i="26" s="1"/>
  <c r="G10" i="26"/>
  <c r="J10" i="26" s="1"/>
  <c r="G9" i="26"/>
  <c r="J9" i="26" s="1"/>
  <c r="G13" i="26"/>
  <c r="J13" i="26" s="1"/>
  <c r="G11" i="26"/>
  <c r="J11" i="26" s="1"/>
  <c r="G7" i="26"/>
  <c r="J7" i="26" s="1"/>
  <c r="G12" i="26"/>
  <c r="J12" i="26" s="1"/>
  <c r="G15" i="26"/>
  <c r="J15" i="26" s="1"/>
  <c r="G16" i="26"/>
  <c r="J16" i="26" s="1"/>
  <c r="G14" i="26"/>
  <c r="J14" i="26" s="1"/>
  <c r="G8" i="26"/>
  <c r="J8" i="26" s="1"/>
  <c r="G18" i="26"/>
  <c r="J18" i="26" s="1"/>
  <c r="E17" i="6"/>
  <c r="E31" i="6"/>
  <c r="E46" i="6" s="1"/>
  <c r="E61" i="6" s="1"/>
  <c r="B17" i="6"/>
  <c r="B31" i="6"/>
  <c r="B46" i="6" s="1"/>
  <c r="B61" i="6" s="1"/>
  <c r="L9" i="4"/>
  <c r="L22" i="4"/>
  <c r="L56" i="4" s="1"/>
  <c r="L87" i="4" s="1"/>
  <c r="C36" i="13" l="1"/>
  <c r="H29" i="15"/>
  <c r="D28" i="15"/>
  <c r="D36" i="15"/>
  <c r="G19" i="26"/>
  <c r="J19" i="26"/>
  <c r="E32" i="6"/>
  <c r="E47" i="6" s="1"/>
  <c r="E62" i="6" s="1"/>
  <c r="E18" i="6"/>
  <c r="B32" i="6"/>
  <c r="B47" i="6" s="1"/>
  <c r="B62" i="6" s="1"/>
  <c r="B18" i="6"/>
  <c r="M22" i="4"/>
  <c r="M56" i="4" s="1"/>
  <c r="M87" i="4" s="1"/>
  <c r="M9" i="4"/>
  <c r="C10" i="26" l="1"/>
  <c r="H32" i="15" s="1"/>
  <c r="H34" i="15" s="1"/>
  <c r="D34" i="15"/>
  <c r="D26" i="15"/>
  <c r="E33" i="6"/>
  <c r="E48" i="6" s="1"/>
  <c r="E63" i="6" s="1"/>
  <c r="E19" i="6"/>
  <c r="E34" i="6" s="1"/>
  <c r="E49" i="6" s="1"/>
  <c r="E64" i="6" s="1"/>
  <c r="B19" i="6"/>
  <c r="B34" i="6" s="1"/>
  <c r="B49" i="6" s="1"/>
  <c r="B64" i="6" s="1"/>
  <c r="B33" i="6"/>
  <c r="B48" i="6" s="1"/>
  <c r="B63" i="6" s="1"/>
  <c r="N9" i="4"/>
  <c r="N22" i="4"/>
  <c r="N56" i="4" s="1"/>
  <c r="N87" i="4" s="1"/>
  <c r="D29" i="15" l="1"/>
  <c r="D37" i="15"/>
  <c r="O9" i="4"/>
  <c r="P22" i="4" s="1"/>
  <c r="P56" i="4" s="1"/>
  <c r="P87" i="4" s="1"/>
  <c r="O22" i="4"/>
  <c r="O56" i="4" s="1"/>
  <c r="O87" i="4" s="1"/>
  <c r="D30" i="15" l="1"/>
  <c r="D38" i="15"/>
  <c r="D31" i="15" l="1"/>
  <c r="D39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PORTAL</author>
  </authors>
  <commentList>
    <comment ref="B13" authorId="0" shapeId="0" xr:uid="{00000000-0006-0000-0200-000001000000}">
      <text>
        <r>
          <rPr>
            <b/>
            <sz val="9"/>
            <color indexed="81"/>
            <rFont val="Calibri"/>
            <family val="2"/>
          </rPr>
          <t xml:space="preserve">Bes é igual ao benefício econômico de saneamento, calculado com base no volume faturado de água e esgotos e na tarifa média praticada, levando-se em conta os dados de cada mês;
Vf é igual ao somatório dos volumes faturados de água e de esgotos, expressos em metros cúbicos; e,
Tm é a tarifa média, expressa em reais, obtida pela divisão da Receita Operacional Direta – ROD, que é a receita obtida com o faturamento mensal de água e esgoto, pelo volume total de água e esgoto faturado no mesmo mês.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20" authorId="0" shapeId="0" xr:uid="{00000000-0006-0000-0200-000002000000}">
      <text>
        <r>
          <rPr>
            <b/>
            <sz val="9"/>
            <color indexed="81"/>
            <rFont val="Calibri"/>
            <family val="2"/>
          </rPr>
          <t xml:space="preserve">Beu(a) é o benefício econômico de uso auferido pelos prestadores de serviços públicos, calculado pela multiplicação do somatório dos volumes produzidos de água e de coleta de esgoto sanitário, pela tarifa média praticada, levando-se em consideração os dados de cada mês;
Vp é igual ao somatório dos volumes produzidos de água e de coleta de esgotos sanitários, expressos em metros cúbicos; e
Tm é a tarifa média, expressa em reais, obtida na forma prevista no art. 2º, § 2º, desta Lei Complementar.
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<sst xmlns="http://schemas.openxmlformats.org/spreadsheetml/2006/main" count="548" uniqueCount="320">
  <si>
    <t>Fórmulas</t>
  </si>
  <si>
    <t>Indices Econômicos 2020</t>
  </si>
  <si>
    <t>Índices Econômicos</t>
    <phoneticPr fontId="0" type="noConversion"/>
  </si>
  <si>
    <t>Dados de Energia Elétrica 2019 e 2020</t>
  </si>
  <si>
    <t>Meses</t>
    <phoneticPr fontId="0" type="noConversion"/>
  </si>
  <si>
    <t>INPC</t>
    <phoneticPr fontId="0" type="noConversion"/>
  </si>
  <si>
    <t>IPCA</t>
    <phoneticPr fontId="0" type="noConversion"/>
  </si>
  <si>
    <t>IGP-M</t>
  </si>
  <si>
    <t>Meses***</t>
  </si>
  <si>
    <t>Custo de Energia* (R$)</t>
    <phoneticPr fontId="0" type="noConversion"/>
  </si>
  <si>
    <t>Consumo** (MWh)</t>
    <phoneticPr fontId="0" type="noConversion"/>
  </si>
  <si>
    <t>Consumo** (MWh)</t>
  </si>
  <si>
    <t>Total (R$)</t>
  </si>
  <si>
    <t>Índice Acumulado (%)</t>
  </si>
  <si>
    <t>* Custo de Energia (R$): toda a despesa mensal incorrida pela CAESB com energia elétrica no referido mês</t>
  </si>
  <si>
    <t>Fonte: www.ipeadata.gov.br</t>
  </si>
  <si>
    <t>** Consumo (MWh): todo o consumo mensal de energia elétrica, em MWh, da CAESB no referido mês</t>
  </si>
  <si>
    <t>***A partir de Abril de 2019 foi alterado o Regime de recolhimento do PIS/COFINS para cumulativo, dessa forma a Companhia não gera mais crédito desses tributos.</t>
  </si>
  <si>
    <t>Fonte: CAESB</t>
  </si>
  <si>
    <t>Δenergia</t>
    <phoneticPr fontId="0" type="noConversion"/>
  </si>
  <si>
    <t>Descrição</t>
  </si>
  <si>
    <t>Custo de Energia (R$)</t>
    <phoneticPr fontId="0" type="noConversion"/>
  </si>
  <si>
    <t>Consumo (MWh)</t>
    <phoneticPr fontId="0" type="noConversion"/>
  </si>
  <si>
    <t>R$/MWh</t>
  </si>
  <si>
    <t>Período de Referência</t>
    <phoneticPr fontId="0" type="noConversion"/>
  </si>
  <si>
    <t>Período de Referência Anterior</t>
    <phoneticPr fontId="0" type="noConversion"/>
  </si>
  <si>
    <t>Δenergia</t>
  </si>
  <si>
    <t>Volume de Água Produzida e Volume de Esgoto Coletado - Ano 2020</t>
  </si>
  <si>
    <r>
      <t>Volume de Água Produzida e de Esgoto Coletado pela CAESB (m</t>
    </r>
    <r>
      <rPr>
        <b/>
        <vertAlign val="superscript"/>
        <sz val="11"/>
        <color indexed="9"/>
        <rFont val="Arial"/>
        <family val="2"/>
      </rPr>
      <t>3</t>
    </r>
    <r>
      <rPr>
        <b/>
        <sz val="11"/>
        <color indexed="9"/>
        <rFont val="Arial"/>
        <family val="2"/>
      </rPr>
      <t>)</t>
    </r>
  </si>
  <si>
    <t>Total</t>
    <phoneticPr fontId="1" type="noConversion"/>
  </si>
  <si>
    <t>Volume de Água Produzida</t>
    <phoneticPr fontId="1" type="noConversion"/>
  </si>
  <si>
    <t>Volume de Esgoto Coletado</t>
    <phoneticPr fontId="1" type="noConversion"/>
  </si>
  <si>
    <t>Total</t>
  </si>
  <si>
    <t>Volume de Água e Esgoto Faturado - Ano 2020</t>
  </si>
  <si>
    <r>
      <t>I - Volume Faturado de Água (m</t>
    </r>
    <r>
      <rPr>
        <b/>
        <vertAlign val="superscript"/>
        <sz val="11"/>
        <color indexed="9"/>
        <rFont val="Arial"/>
        <family val="2"/>
      </rPr>
      <t>3</t>
    </r>
    <r>
      <rPr>
        <b/>
        <sz val="11"/>
        <color indexed="9"/>
        <rFont val="Arial"/>
        <family val="2"/>
      </rPr>
      <t>)</t>
    </r>
  </si>
  <si>
    <t>Categoria</t>
  </si>
  <si>
    <t>Faixa</t>
  </si>
  <si>
    <t>Total 1</t>
  </si>
  <si>
    <t>Total 2</t>
  </si>
  <si>
    <t>Residencial Normal</t>
  </si>
  <si>
    <t>0 - 10</t>
  </si>
  <si>
    <t>0 a 7</t>
  </si>
  <si>
    <t>11 a 15</t>
  </si>
  <si>
    <t>8 a 13</t>
  </si>
  <si>
    <t>16 a 25</t>
  </si>
  <si>
    <t>14 a 20</t>
  </si>
  <si>
    <t>26 a 35</t>
  </si>
  <si>
    <t>21 a 30</t>
  </si>
  <si>
    <t xml:space="preserve">36 a 50 </t>
  </si>
  <si>
    <t>31 a 45</t>
  </si>
  <si>
    <t>51 a 70</t>
  </si>
  <si>
    <t>&gt; 45</t>
  </si>
  <si>
    <t>71 a 100</t>
  </si>
  <si>
    <t>&gt; 100</t>
  </si>
  <si>
    <t>Sub-total</t>
  </si>
  <si>
    <t>Residencial Popular</t>
  </si>
  <si>
    <t>0   -   10</t>
  </si>
  <si>
    <t>11  a  15</t>
  </si>
  <si>
    <t>16  a  25</t>
  </si>
  <si>
    <t>26  a  35</t>
  </si>
  <si>
    <t xml:space="preserve">36  a  50 </t>
  </si>
  <si>
    <t>51  a  70</t>
  </si>
  <si>
    <t>71  a  100</t>
  </si>
  <si>
    <t>Comercial</t>
  </si>
  <si>
    <t>0  -  10</t>
  </si>
  <si>
    <t>Acima de 10</t>
  </si>
  <si>
    <t>&gt; 7</t>
  </si>
  <si>
    <t>Industrial</t>
  </si>
  <si>
    <t>Pública</t>
  </si>
  <si>
    <t>Total Geral</t>
  </si>
  <si>
    <t>Saneago + Água Bruta</t>
  </si>
  <si>
    <t>Total Geral com água bruta</t>
  </si>
  <si>
    <r>
      <t>II - Volume Faturado de Esgoto (m</t>
    </r>
    <r>
      <rPr>
        <b/>
        <vertAlign val="superscript"/>
        <sz val="11"/>
        <color indexed="9"/>
        <rFont val="Arial"/>
        <family val="2"/>
      </rPr>
      <t>3</t>
    </r>
    <r>
      <rPr>
        <b/>
        <sz val="11"/>
        <color indexed="9"/>
        <rFont val="Arial"/>
        <family val="2"/>
      </rPr>
      <t>)</t>
    </r>
  </si>
  <si>
    <t>III - Volume Faturado de Água e de Esgoto (m3)</t>
  </si>
  <si>
    <t>Apuração do Bônus-Desconto para o Reajuste 2021</t>
  </si>
  <si>
    <t>Categoria Residencial Normal</t>
  </si>
  <si>
    <t>Quadro Resumo - Bônus-Desconto</t>
  </si>
  <si>
    <t xml:space="preserve"> Período de Referência (A) </t>
  </si>
  <si>
    <t xml:space="preserve">Consumo (m3) </t>
  </si>
  <si>
    <t xml:space="preserve">Período de Apuração (B) </t>
  </si>
  <si>
    <t xml:space="preserve">Economia  em m3 </t>
  </si>
  <si>
    <t xml:space="preserve">Economia até maio de 2020 (m3)  </t>
  </si>
  <si>
    <t xml:space="preserve">Bônus Desconto até maio de 2020  (%) -  Lei 4.341/09 </t>
  </si>
  <si>
    <t>Base de Cálculo até maio de 2020 (m3)</t>
  </si>
  <si>
    <t>Tarifa Inicial até maio de 2020 (R$)</t>
  </si>
  <si>
    <t>Bonus-Desconto (R$)</t>
  </si>
  <si>
    <t>Bônus-desconto total</t>
  </si>
  <si>
    <t>Categoria Residencial Social</t>
  </si>
  <si>
    <t>Categoria Comercial</t>
  </si>
  <si>
    <t>Categoria Industrial</t>
  </si>
  <si>
    <t xml:space="preserve">                                                    Valor da Parcela A - 2021 - DRP</t>
  </si>
  <si>
    <t>%</t>
  </si>
  <si>
    <t>TFS</t>
  </si>
  <si>
    <t xml:space="preserve">TFU </t>
  </si>
  <si>
    <t>Taxa de Fiscalização do Serviço - TFS</t>
    <phoneticPr fontId="0" type="noConversion"/>
  </si>
  <si>
    <r>
      <t>Volume Faturado de Água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</si>
  <si>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Volume Faturado de Esgoto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</si>
  <si>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Volume Faturado Total  (m</t>
    </r>
    <r>
      <rPr>
        <vertAlign val="superscript"/>
        <sz val="11"/>
        <color rgb="FF000000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>)</t>
    </r>
  </si>
  <si>
    <t>Benefício Econômico de Saneamento - Bes (R$)</t>
    <phoneticPr fontId="0" type="noConversion"/>
  </si>
  <si>
    <t>TFS = 1% x Bes (R$)</t>
  </si>
  <si>
    <t>Taxa de Fiscalização do Uso - TFU</t>
    <phoneticPr fontId="0" type="noConversion"/>
  </si>
  <si>
    <r>
      <t>Volume de Água Produzida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</si>
  <si>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Volume de Esgoto Coletado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</si>
  <si>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Volume Produzido e Coletado Total - Vp (m</t>
    </r>
    <r>
      <rPr>
        <vertAlign val="superscript"/>
        <sz val="11"/>
        <color rgb="FF000000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>)</t>
    </r>
  </si>
  <si>
    <t>Benefício Econômico de Uso Auferido - Beu(a) (R$)</t>
    <phoneticPr fontId="0" type="noConversion"/>
  </si>
  <si>
    <t>TFU = 2,5% x Beu(a) (R$)</t>
  </si>
  <si>
    <t>Valor Conselho de Consumidores da Caesb</t>
  </si>
  <si>
    <r>
      <t xml:space="preserve">Valor Total das Taxas (VPA </t>
    </r>
    <r>
      <rPr>
        <b/>
        <vertAlign val="subscript"/>
        <sz val="11"/>
        <color theme="0"/>
        <rFont val="Calibri"/>
        <family val="2"/>
        <scheme val="minor"/>
      </rPr>
      <t>DRP</t>
    </r>
    <r>
      <rPr>
        <b/>
        <sz val="11"/>
        <color theme="0"/>
        <rFont val="Calibri"/>
        <family val="2"/>
        <scheme val="minor"/>
      </rPr>
      <t>)</t>
    </r>
  </si>
  <si>
    <t>Tarifa de Parcela A</t>
  </si>
  <si>
    <r>
      <t>TA</t>
    </r>
    <r>
      <rPr>
        <vertAlign val="subscript"/>
        <sz val="11"/>
        <rFont val="Calibri"/>
        <family val="2"/>
        <scheme val="minor"/>
      </rPr>
      <t>DRP</t>
    </r>
  </si>
  <si>
    <t>Valor da Parcela B 2021 - DRP</t>
  </si>
  <si>
    <t>IrB (%)</t>
    <phoneticPr fontId="0" type="noConversion"/>
  </si>
  <si>
    <t>Custos</t>
  </si>
  <si>
    <t>Proporção (%)</t>
  </si>
  <si>
    <t>Variação (%)</t>
    <phoneticPr fontId="0" type="noConversion"/>
  </si>
  <si>
    <t xml:space="preserve"> Impacto no IrB (%)</t>
  </si>
  <si>
    <t>Pessoal</t>
  </si>
  <si>
    <t>%P x ΔINPC</t>
    <phoneticPr fontId="0" type="noConversion"/>
  </si>
  <si>
    <t>Energia Elétrica</t>
  </si>
  <si>
    <t>%EE x Δenergia</t>
    <phoneticPr fontId="0" type="noConversion"/>
  </si>
  <si>
    <t xml:space="preserve">Material </t>
  </si>
  <si>
    <t>%MT x ΔIGP-M</t>
    <phoneticPr fontId="0" type="noConversion"/>
  </si>
  <si>
    <t>Remuneração dos Investimentos</t>
  </si>
  <si>
    <t>%RI x ΔIGP-M</t>
    <phoneticPr fontId="0" type="noConversion"/>
  </si>
  <si>
    <t>Outros Custos</t>
  </si>
  <si>
    <t>% OC x ΔIPCA</t>
    <phoneticPr fontId="0" type="noConversion"/>
  </si>
  <si>
    <t>IrB = (%P x ΔINPC) + (%EE x ΔEnergia) + (%MT x ΔIGP-M) + (%RI x ΔIGP-M) + (% OC x ΔIPCA)</t>
  </si>
  <si>
    <t>Fonte: 3ª Revisão Tarifária Periódica</t>
  </si>
  <si>
    <t>Índice que Reajusta a Parcela B</t>
    <phoneticPr fontId="0" type="noConversion"/>
  </si>
  <si>
    <t>IrB</t>
    <phoneticPr fontId="0" type="noConversion"/>
  </si>
  <si>
    <t>Fator X</t>
    <phoneticPr fontId="0" type="noConversion"/>
  </si>
  <si>
    <t>Índice Acumulado = IrB - X</t>
  </si>
  <si>
    <t>Tarifa de Parcela B - 2021</t>
  </si>
  <si>
    <r>
      <t>TB</t>
    </r>
    <r>
      <rPr>
        <vertAlign val="subscript"/>
        <sz val="11"/>
        <rFont val="Calibri"/>
        <family val="2"/>
        <scheme val="minor"/>
      </rPr>
      <t>DRA</t>
    </r>
  </si>
  <si>
    <r>
      <t>TB</t>
    </r>
    <r>
      <rPr>
        <vertAlign val="subscript"/>
        <sz val="11"/>
        <rFont val="Calibri"/>
        <family val="2"/>
        <scheme val="minor"/>
      </rPr>
      <t>DRP</t>
    </r>
  </si>
  <si>
    <r>
      <t xml:space="preserve">% P x </t>
    </r>
    <r>
      <rPr>
        <sz val="10"/>
        <color rgb="FF000000"/>
        <rFont val="Arial"/>
        <family val="2"/>
      </rPr>
      <t>Δ</t>
    </r>
    <r>
      <rPr>
        <sz val="9"/>
        <color indexed="8"/>
        <rFont val="Arial"/>
        <family val="2"/>
      </rPr>
      <t xml:space="preserve"> INPC = Proporção dos custos de pessoal multiplicado pela variação do INPC</t>
    </r>
  </si>
  <si>
    <r>
      <t xml:space="preserve">% EE x </t>
    </r>
    <r>
      <rPr>
        <sz val="10"/>
        <color rgb="FF000000"/>
        <rFont val="Arial"/>
        <family val="2"/>
      </rPr>
      <t>Δ</t>
    </r>
    <r>
      <rPr>
        <sz val="9"/>
        <color indexed="8"/>
        <rFont val="Arial"/>
        <family val="2"/>
      </rPr>
      <t xml:space="preserve"> energia = Proporção dos custos energia elétrica multiplicado pela variação do índice de energia</t>
    </r>
  </si>
  <si>
    <r>
      <t xml:space="preserve">% MT x </t>
    </r>
    <r>
      <rPr>
        <sz val="10"/>
        <color rgb="FF000000"/>
        <rFont val="Arial"/>
        <family val="2"/>
      </rPr>
      <t>Δ</t>
    </r>
    <r>
      <rPr>
        <sz val="9"/>
        <color indexed="8"/>
        <rFont val="Arial"/>
        <family val="2"/>
      </rPr>
      <t xml:space="preserve"> IGP-M = Proporção dos custos de material de tratamento multiplicado pela variação do IGP-M</t>
    </r>
  </si>
  <si>
    <r>
      <t xml:space="preserve">% RI x </t>
    </r>
    <r>
      <rPr>
        <sz val="10"/>
        <color rgb="FF000000"/>
        <rFont val="Arial"/>
        <family val="2"/>
      </rPr>
      <t>Δ</t>
    </r>
    <r>
      <rPr>
        <sz val="9"/>
        <color indexed="8"/>
        <rFont val="Arial"/>
        <family val="2"/>
      </rPr>
      <t xml:space="preserve"> IGP-M = Proporção da remuneração dos investimentos multiplicado pela variação do IGP-M</t>
    </r>
  </si>
  <si>
    <r>
      <t xml:space="preserve">% OC x </t>
    </r>
    <r>
      <rPr>
        <sz val="10"/>
        <color rgb="FF000000"/>
        <rFont val="Arial"/>
        <family val="2"/>
      </rPr>
      <t>Δ</t>
    </r>
    <r>
      <rPr>
        <sz val="9"/>
        <color indexed="8"/>
        <rFont val="Arial"/>
        <family val="2"/>
      </rPr>
      <t xml:space="preserve"> IPCA = Proporção de outros custos multiplicado pela variação do IPCA</t>
    </r>
  </si>
  <si>
    <t>DISCRIMINAÇÃO</t>
  </si>
  <si>
    <t>Mês</t>
  </si>
  <si>
    <t>CPA</t>
  </si>
  <si>
    <t>VPA</t>
  </si>
  <si>
    <t>MR</t>
  </si>
  <si>
    <t>IPCA</t>
  </si>
  <si>
    <t>CF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</si>
  <si>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</si>
  <si>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</si>
  <si>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</si>
  <si>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</si>
  <si>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</si>
  <si>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</si>
  <si>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</si>
  <si>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</si>
  <si>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</si>
  <si>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</si>
  <si>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</si>
  <si>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</si>
  <si>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</si>
  <si>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</t>
  </si>
  <si>
    <t>Receita Operacional Direta</t>
  </si>
  <si>
    <t>R$</t>
  </si>
  <si>
    <t>fev</t>
  </si>
  <si>
    <r>
      <t xml:space="preserve">volume </t>
    </r>
    <r>
      <rPr>
        <sz val="11"/>
        <color indexed="8"/>
        <rFont val="Calibri"/>
        <family val="2"/>
      </rPr>
      <t>produzido Ag</t>
    </r>
  </si>
  <si>
    <t>m³</t>
  </si>
  <si>
    <t xml:space="preserve"> CF 2021</t>
  </si>
  <si>
    <t>mar</t>
  </si>
  <si>
    <r>
      <t xml:space="preserve">volume </t>
    </r>
    <r>
      <rPr>
        <sz val="11"/>
        <color indexed="8"/>
        <rFont val="Calibri"/>
        <family val="2"/>
      </rPr>
      <t>coletado Esg</t>
    </r>
  </si>
  <si>
    <t>abr</t>
  </si>
  <si>
    <t>Total vol prod Ag + Esg</t>
  </si>
  <si>
    <t>mai</t>
  </si>
  <si>
    <r>
      <t xml:space="preserve">volume </t>
    </r>
    <r>
      <rPr>
        <sz val="11"/>
        <color indexed="8"/>
        <rFont val="Calibri"/>
        <family val="2"/>
      </rPr>
      <t>faturado Ag</t>
    </r>
  </si>
  <si>
    <t>jun</t>
  </si>
  <si>
    <r>
      <t xml:space="preserve">volume </t>
    </r>
    <r>
      <rPr>
        <sz val="11"/>
        <color indexed="8"/>
        <rFont val="Calibri"/>
        <family val="2"/>
      </rPr>
      <t>faturado Esg</t>
    </r>
  </si>
  <si>
    <r>
      <t>TA</t>
    </r>
    <r>
      <rPr>
        <b/>
        <vertAlign val="subscript"/>
        <sz val="11"/>
        <color theme="1"/>
        <rFont val="Calibri"/>
        <family val="2"/>
        <scheme val="minor"/>
      </rPr>
      <t>DRA</t>
    </r>
    <r>
      <rPr>
        <b/>
        <sz val="11"/>
        <color theme="1"/>
        <rFont val="Calibri"/>
        <family val="2"/>
        <scheme val="minor"/>
      </rPr>
      <t xml:space="preserve"> TFS/TFU</t>
    </r>
  </si>
  <si>
    <t>jul</t>
  </si>
  <si>
    <t>Total vol fat Ag + Esg</t>
  </si>
  <si>
    <t>ago</t>
  </si>
  <si>
    <t>Tarifa Média</t>
  </si>
  <si>
    <t>R$/m³</t>
  </si>
  <si>
    <t>set</t>
  </si>
  <si>
    <t>Bes</t>
  </si>
  <si>
    <t>out</t>
  </si>
  <si>
    <t>Beu</t>
  </si>
  <si>
    <t>nov</t>
  </si>
  <si>
    <t>TFU (2,5%)</t>
  </si>
  <si>
    <t>dez</t>
  </si>
  <si>
    <t>TFS (1%)</t>
  </si>
  <si>
    <t>MR - Mercado de Referência (m3) - jan a dez</t>
  </si>
  <si>
    <t>CPAi: custos da CONCESSIONÁRIA, em reais, referentes aos itens da Parcela A incorridos no mês (i) do Período de Referência;</t>
  </si>
  <si>
    <r>
      <t>VPAi: valor, em reais, da receita da CONCESSIONÁRIA correspondente à Parcela A, no mês (i) do Período de Referência, ou seja, VPA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 TA</t>
    </r>
    <r>
      <rPr>
        <vertAlign val="subscript"/>
        <sz val="11"/>
        <color theme="1"/>
        <rFont val="Calibri"/>
        <family val="2"/>
        <scheme val="minor"/>
      </rPr>
      <t>DRA</t>
    </r>
    <r>
      <rPr>
        <sz val="11"/>
        <color theme="1"/>
        <rFont val="Calibri"/>
        <family val="2"/>
        <scheme val="minor"/>
      </rPr>
      <t xml:space="preserve"> X MR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;</t>
    </r>
  </si>
  <si>
    <t xml:space="preserve">Outros Componentes Financeiros RTP 2020 - Não Residencial </t>
  </si>
  <si>
    <r>
      <t>TF</t>
    </r>
    <r>
      <rPr>
        <b/>
        <vertAlign val="subscript"/>
        <sz val="11"/>
        <rFont val="Arial"/>
        <family val="2"/>
      </rPr>
      <t>DRA</t>
    </r>
  </si>
  <si>
    <t xml:space="preserve">Custos para avaliação dos ativos da BAR </t>
  </si>
  <si>
    <t xml:space="preserve">Recurso do conselho de consumidores 2017 </t>
  </si>
  <si>
    <t>Recurso do conselho de consumidores 2018</t>
  </si>
  <si>
    <t>Tarifa de Contingência - CF</t>
  </si>
  <si>
    <t xml:space="preserve">Compensação do adiamento da 3ª RTP  </t>
  </si>
  <si>
    <t>Outros Componentes Financeiros RTP 2020 - Residencial</t>
  </si>
  <si>
    <t>Devolução TC Residencial</t>
  </si>
  <si>
    <t xml:space="preserve">Componetes Financeiros </t>
  </si>
  <si>
    <t xml:space="preserve">                                                    Valor do RTA 2021</t>
  </si>
  <si>
    <t>Parâmetros</t>
    <phoneticPr fontId="0" type="noConversion"/>
  </si>
  <si>
    <t>Data</t>
    <phoneticPr fontId="0" type="noConversion"/>
  </si>
  <si>
    <t>Data do Reajuste</t>
    <phoneticPr fontId="0" type="noConversion"/>
  </si>
  <si>
    <t>01/06/2021</t>
  </si>
  <si>
    <t>Vigência das Tarifas pós RTA-2021</t>
  </si>
  <si>
    <t>01/06/2021 a 31/05/2022</t>
  </si>
  <si>
    <t xml:space="preserve">DRA: Data  de Referência Anterior </t>
    <phoneticPr fontId="0" type="noConversion"/>
  </si>
  <si>
    <t>01/06/2020</t>
  </si>
  <si>
    <t xml:space="preserve">DRP: Data de Reajuste em Processamento </t>
    <phoneticPr fontId="0" type="noConversion"/>
  </si>
  <si>
    <t>Período de Referência (parcela A + parcela B): 12 meses</t>
  </si>
  <si>
    <t>jan/2020 a dez/2020</t>
  </si>
  <si>
    <t>Mercado de Referência (parcela A + parcela B): Volume de Água e de Esgoto</t>
  </si>
  <si>
    <t>Período de Referência (Bônus-Desconto): 12 meses</t>
  </si>
  <si>
    <t>jan/2019 a dez/2019</t>
  </si>
  <si>
    <t>Período de Apuração (Bônus-Desconto): 12 meses</t>
  </si>
  <si>
    <t>Valores da DRA (R$)</t>
  </si>
  <si>
    <t xml:space="preserve">Tarifa de Parcela A:                                                                    </t>
  </si>
  <si>
    <r>
      <t>TA</t>
    </r>
    <r>
      <rPr>
        <vertAlign val="subscript"/>
        <sz val="11"/>
        <rFont val="Calibri"/>
        <family val="2"/>
        <scheme val="minor"/>
      </rPr>
      <t>DRA</t>
    </r>
  </si>
  <si>
    <t>Valor Parcela A</t>
  </si>
  <si>
    <r>
      <t>VPA</t>
    </r>
    <r>
      <rPr>
        <vertAlign val="subscript"/>
        <sz val="11"/>
        <rFont val="Calibri"/>
        <family val="2"/>
        <scheme val="minor"/>
      </rPr>
      <t>DRA</t>
    </r>
  </si>
  <si>
    <t>Tarifa bônus-desconto</t>
  </si>
  <si>
    <r>
      <t>TA-BD</t>
    </r>
    <r>
      <rPr>
        <vertAlign val="subscript"/>
        <sz val="11"/>
        <color indexed="8"/>
        <rFont val="Calibri"/>
        <family val="2"/>
        <scheme val="minor"/>
      </rPr>
      <t>DRA</t>
    </r>
  </si>
  <si>
    <t>Valor do Bonus-Desconto - Parcela A:</t>
  </si>
  <si>
    <r>
      <t>VPA-BD</t>
    </r>
    <r>
      <rPr>
        <vertAlign val="subscript"/>
        <sz val="11"/>
        <rFont val="Calibri"/>
        <family val="2"/>
        <scheme val="minor"/>
      </rPr>
      <t>DRA</t>
    </r>
  </si>
  <si>
    <t xml:space="preserve">Tarifa de Parcela B: </t>
    <phoneticPr fontId="0" type="noConversion"/>
  </si>
  <si>
    <t xml:space="preserve">Valor da Parcela B: </t>
    <phoneticPr fontId="0" type="noConversion"/>
  </si>
  <si>
    <r>
      <t>VPB</t>
    </r>
    <r>
      <rPr>
        <vertAlign val="subscript"/>
        <sz val="11"/>
        <rFont val="Calibri"/>
        <family val="2"/>
        <scheme val="minor"/>
      </rPr>
      <t>DRA</t>
    </r>
  </si>
  <si>
    <r>
      <t>TF</t>
    </r>
    <r>
      <rPr>
        <vertAlign val="subscript"/>
        <sz val="11"/>
        <rFont val="Calibri"/>
        <family val="2"/>
        <scheme val="minor"/>
      </rPr>
      <t>DRA</t>
    </r>
  </si>
  <si>
    <r>
      <t>VCF</t>
    </r>
    <r>
      <rPr>
        <vertAlign val="subscript"/>
        <sz val="11"/>
        <rFont val="Calibri"/>
        <family val="2"/>
        <scheme val="minor"/>
      </rPr>
      <t>DAP</t>
    </r>
  </si>
  <si>
    <t xml:space="preserve">Tarifa Final DRA: </t>
  </si>
  <si>
    <t>Receita Anual:</t>
  </si>
  <si>
    <t>RA</t>
  </si>
  <si>
    <t>MR</t>
    <phoneticPr fontId="0" type="noConversion"/>
  </si>
  <si>
    <r>
      <t>Mercado de Referência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 - jan a dez/2020 - Residencial</t>
    </r>
  </si>
  <si>
    <t>MR</t>
    <phoneticPr fontId="1" type="noConversion"/>
  </si>
  <si>
    <t>Valores da DRP (R$)</t>
  </si>
  <si>
    <r>
      <t>VPA</t>
    </r>
    <r>
      <rPr>
        <vertAlign val="subscript"/>
        <sz val="11"/>
        <rFont val="Calibri"/>
        <family val="2"/>
        <scheme val="minor"/>
      </rPr>
      <t>DRP</t>
    </r>
  </si>
  <si>
    <r>
      <t>VPA-BD</t>
    </r>
    <r>
      <rPr>
        <vertAlign val="subscript"/>
        <sz val="11"/>
        <rFont val="Calibri"/>
        <family val="2"/>
        <scheme val="minor"/>
      </rPr>
      <t>DRP</t>
    </r>
  </si>
  <si>
    <r>
      <t>VPB</t>
    </r>
    <r>
      <rPr>
        <vertAlign val="subscript"/>
        <sz val="11"/>
        <rFont val="Calibri"/>
        <family val="2"/>
        <scheme val="minor"/>
      </rPr>
      <t>DRP</t>
    </r>
  </si>
  <si>
    <t xml:space="preserve">Valor do Componente Financeiro </t>
  </si>
  <si>
    <r>
      <t>VCF</t>
    </r>
    <r>
      <rPr>
        <vertAlign val="subscript"/>
        <sz val="11"/>
        <rFont val="Calibri"/>
        <family val="2"/>
        <scheme val="minor"/>
      </rPr>
      <t>DRP</t>
    </r>
  </si>
  <si>
    <t xml:space="preserve">Tarifa da Parcela A                                         </t>
  </si>
  <si>
    <r>
      <t>Mercado de Referência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 - jan a dez/2020</t>
    </r>
  </si>
  <si>
    <t>Tarifa do Bônus-desconto</t>
  </si>
  <si>
    <r>
      <t>TA-BD</t>
    </r>
    <r>
      <rPr>
        <vertAlign val="subscript"/>
        <sz val="11"/>
        <rFont val="Calibri"/>
        <family val="2"/>
        <scheme val="minor"/>
      </rPr>
      <t>DRP</t>
    </r>
  </si>
  <si>
    <t>Tarifa da Parcela B</t>
  </si>
  <si>
    <t xml:space="preserve">Tarifa de Componentes Financeiros   </t>
  </si>
  <si>
    <r>
      <t>TF</t>
    </r>
    <r>
      <rPr>
        <vertAlign val="subscript"/>
        <sz val="11"/>
        <rFont val="Calibri"/>
        <family val="2"/>
        <scheme val="minor"/>
      </rPr>
      <t>DRP</t>
    </r>
  </si>
  <si>
    <t xml:space="preserve">Tarifa Final DRP: </t>
  </si>
  <si>
    <t>T</t>
  </si>
  <si>
    <t>Índice de Reajuste Tarifário - Não Residencial</t>
  </si>
  <si>
    <t>Índice de Reajuste Tarifário - Residencial</t>
  </si>
  <si>
    <r>
      <t>Mercado de Referência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) - jan a dez/2020 </t>
    </r>
  </si>
  <si>
    <t xml:space="preserve">Tarifa Componentes Financeiros </t>
  </si>
  <si>
    <r>
      <t>TA</t>
    </r>
    <r>
      <rPr>
        <b/>
        <sz val="9"/>
        <color theme="0"/>
        <rFont val="Calibri"/>
        <family val="2"/>
        <scheme val="minor"/>
      </rPr>
      <t>DRP</t>
    </r>
    <r>
      <rPr>
        <b/>
        <sz val="11"/>
        <color theme="0"/>
        <rFont val="Calibri"/>
        <family val="2"/>
        <scheme val="minor"/>
      </rPr>
      <t xml:space="preserve"> (R$/m³)</t>
    </r>
  </si>
  <si>
    <t>Pagamento pelo uso dos recursos hídricos de domínio da União - 2021</t>
  </si>
  <si>
    <t>Pagamento por serviços ambientais - PSA</t>
  </si>
  <si>
    <t xml:space="preserve">Redução alíquota PASEP/COFINS </t>
  </si>
  <si>
    <t>Reposicionamento Tarifário</t>
  </si>
  <si>
    <t>Reposicionamento Tarifário com Componentes Financeiros</t>
  </si>
  <si>
    <t>Receita Verificada RTP</t>
  </si>
  <si>
    <t>MR Residencial</t>
  </si>
  <si>
    <r>
      <t>Tarifas DRA (R$/m</t>
    </r>
    <r>
      <rPr>
        <vertAlign val="superscript"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>)</t>
    </r>
    <r>
      <rPr>
        <b/>
        <sz val="11"/>
        <color theme="0"/>
        <rFont val="Calibri"/>
        <family val="2"/>
        <scheme val="minor"/>
      </rPr>
      <t xml:space="preserve"> - RTP 2020 </t>
    </r>
  </si>
  <si>
    <t>Companhia de Saneamento Ambiental do Distrito Federal - CAESB</t>
  </si>
  <si>
    <t>Revisão Tarifária Periódica (3ª RTP)</t>
  </si>
  <si>
    <t>Parcela A (VPA)</t>
  </si>
  <si>
    <t>em R$</t>
  </si>
  <si>
    <t>. Bônus desconto</t>
  </si>
  <si>
    <t xml:space="preserve">. TFS  </t>
  </si>
  <si>
    <t>. TFU</t>
  </si>
  <si>
    <t>.Conselho dos consumidores</t>
  </si>
  <si>
    <t>. Pagamento pelo uso dos recursos hídricos de domínio do DF</t>
  </si>
  <si>
    <t xml:space="preserve">. Redução alíquota PASEP/COFINS </t>
  </si>
  <si>
    <t>Total Parcela A (VPA)</t>
  </si>
  <si>
    <t>Parcela B (VPB)</t>
  </si>
  <si>
    <t>. Custos Operacionais 3ª RTP</t>
  </si>
  <si>
    <t>.Pessoal</t>
  </si>
  <si>
    <t>.Terceiros</t>
  </si>
  <si>
    <t>.Material</t>
  </si>
  <si>
    <t>.Gerais</t>
  </si>
  <si>
    <t>.Depreciação</t>
  </si>
  <si>
    <t>.Impostos e taxas</t>
  </si>
  <si>
    <t>.Energia elétrica</t>
  </si>
  <si>
    <t>. Receitas Irrecuperáveis</t>
  </si>
  <si>
    <t>. Remuneração Adequada</t>
  </si>
  <si>
    <t xml:space="preserve">. Remuneração dos Investimentos </t>
  </si>
  <si>
    <t>. Quota de Reintegração Regulatória</t>
  </si>
  <si>
    <t>. Remuneração dos Ativos de Almoxarifado</t>
  </si>
  <si>
    <t>Total Parcela B (VPB)</t>
  </si>
  <si>
    <t>. Receita Requerida (VPA + VPB)</t>
  </si>
  <si>
    <t>(-) Outras Receitas</t>
  </si>
  <si>
    <t>. Receita Requerida Líquida (A)</t>
  </si>
  <si>
    <t>. Receita Verificada (B)</t>
  </si>
  <si>
    <t>Reposicionamento Tarifário - RT (A/B-1)</t>
  </si>
  <si>
    <r>
      <t>Tarifas DRP (R$/m</t>
    </r>
    <r>
      <rPr>
        <vertAlign val="superscript"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>)</t>
    </r>
    <r>
      <rPr>
        <b/>
        <sz val="11"/>
        <color theme="0"/>
        <rFont val="Calibri"/>
        <family val="2"/>
        <scheme val="minor"/>
      </rPr>
      <t xml:space="preserve"> - Residencial</t>
    </r>
  </si>
  <si>
    <r>
      <t>Tarifas DRP (R$/m</t>
    </r>
    <r>
      <rPr>
        <vertAlign val="superscript"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>)</t>
    </r>
    <r>
      <rPr>
        <b/>
        <sz val="11"/>
        <color theme="0"/>
        <rFont val="Calibri"/>
        <family val="2"/>
        <scheme val="minor"/>
      </rPr>
      <t xml:space="preserve"> - Não Residencial</t>
    </r>
  </si>
  <si>
    <t>Residencial</t>
  </si>
  <si>
    <t>Valor do Componente Financeiro - Residencial</t>
  </si>
  <si>
    <t>CF total (R$)</t>
  </si>
  <si>
    <t>Valor do Componente Financeiro - Residencial + Não Residencial</t>
  </si>
  <si>
    <t>Pagamento pelo uso dos recursos hídricos de domínio do DF - 2022</t>
  </si>
  <si>
    <t>Pagamento pelo uso dos recursos hídricos de domínio da União - 2022</t>
  </si>
  <si>
    <t>Valor dos Componentes Financeiros 2021 - DRP</t>
  </si>
  <si>
    <t>Devolução do PASEP/COFINS de 2019</t>
  </si>
  <si>
    <t>Receita Operacional Direta 2019</t>
  </si>
  <si>
    <t>Apuração da valor a devolver referente a Tarifa de Contingência até dezembro de 2019</t>
  </si>
  <si>
    <t>Mês/ano</t>
  </si>
  <si>
    <t>Valor Arrecadado com a Tarifa de Contingência</t>
  </si>
  <si>
    <t>IPCA (%)</t>
  </si>
  <si>
    <t>Valor Arrecadado Corrigido</t>
  </si>
  <si>
    <t>Valor Arrecadado total corrigido  Residencial</t>
  </si>
  <si>
    <t>Valor a ser devolvido corrigido              (50% do arrecadado - Residencial)</t>
  </si>
  <si>
    <t xml:space="preserve">Saldo Bancário Disponível para devolução </t>
  </si>
  <si>
    <t>Devolução - Residencial</t>
  </si>
  <si>
    <t>Tarifa de contingência no CF</t>
  </si>
  <si>
    <t>Receita Operacional Direta - ROD (mar a dez/19)</t>
  </si>
  <si>
    <t>CF RTA 2021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</si>
</sst>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[Red]\-&quot;R$&quot;#,##0.00"/>
    <numFmt numFmtId="165" formatCode="#,##0.0000"/>
    <numFmt numFmtId="166" formatCode="0.0000%"/>
    <numFmt numFmtId="167" formatCode="_-* #,##0_-;\-* #,##0_-;_-* &quot;-&quot;??_-;_-@_-"/>
    <numFmt numFmtId="168" formatCode="_(* #,##0.00_);_(* \(#,##0.00\);_(* &quot;-&quot;??_);_(@_)"/>
    <numFmt numFmtId="169" formatCode="0.0%"/>
    <numFmt numFmtId="170" formatCode="mmm\-yy"/>
    <numFmt numFmtId="171" formatCode="0.0000"/>
    <numFmt numFmtId="172" formatCode="_(&quot;R$ &quot;* #,##0.00_);_(&quot;R$ &quot;* \(#,##0.00\);_(&quot;R$ &quot;* &quot;-&quot;??_);_(@_)"/>
    <numFmt numFmtId="173" formatCode="_-* #,##0.0000_-;\-* #,##0.0000_-;_-* &quot;-&quot;??_-;_-@_-"/>
    <numFmt numFmtId="174" formatCode="#,##0.0000;[Red]#,##0.0000"/>
    <numFmt numFmtId="175" formatCode="mmmm/yyyy"/>
    <numFmt numFmtId="176" formatCode="0.000"/>
    <numFmt numFmtId="177" formatCode="0.00000"/>
    <numFmt numFmtId="178" formatCode="_(* #,##0_);_(* \(#,##0\);_(* &quot;-&quot;??_);_(@_)"/>
    <numFmt numFmtId="179" formatCode="#,##0;[Red]#,##0"/>
    <numFmt numFmtId="180" formatCode="_-* #,##0.000000000_-;\-* #,##0.000000000_-;_-* &quot;-&quot;??_-;_-@_-"/>
    <numFmt numFmtId="181" formatCode="_(* #,##0_);_(* \(#,##0\);_(* &quot;-&quot;_);_(@_)"/>
    <numFmt numFmtId="182" formatCode="[$-416]mmm\-yy;@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4"/>
      <color indexed="18"/>
      <name val="Arial"/>
      <family val="2"/>
    </font>
    <font>
      <sz val="11"/>
      <color indexed="9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Verdana"/>
      <family val="2"/>
    </font>
    <font>
      <b/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name val="Arial"/>
      <family val="2"/>
    </font>
    <font>
      <vertAlign val="superscript"/>
      <sz val="11"/>
      <color theme="0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bscript"/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9"/>
      <color indexed="1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0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5"/>
      <color theme="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5"/>
      <color rgb="FF000000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15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38"/>
      </patternFill>
    </fill>
    <fill>
      <patternFill patternType="solid">
        <fgColor rgb="FF002060"/>
        <bgColor indexed="38"/>
      </patternFill>
    </fill>
    <fill>
      <patternFill patternType="solid">
        <fgColor indexed="9"/>
        <bgColor indexed="38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vertical="top"/>
    </xf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25" fillId="0" borderId="0"/>
    <xf numFmtId="0" fontId="4" fillId="0" borderId="0"/>
    <xf numFmtId="168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>
      <alignment vertical="top"/>
    </xf>
  </cellStyleXfs>
  <cellXfs count="472">
    <xf numFmtId="0" fontId="0" fillId="0" borderId="0" xfId="0"/>
    <xf numFmtId="0" fontId="5" fillId="0" borderId="0" xfId="0" applyFont="1"/>
    <xf numFmtId="0" fontId="7" fillId="3" borderId="1" xfId="0" applyFont="1" applyFill="1" applyBorder="1" applyAlignment="1">
      <alignment horizontal="center" vertical="center" wrapText="1"/>
    </xf>
    <xf numFmtId="10" fontId="5" fillId="0" borderId="0" xfId="3" applyNumberFormat="1" applyFont="1"/>
    <xf numFmtId="166" fontId="5" fillId="0" borderId="0" xfId="0" applyNumberFormat="1" applyFont="1"/>
    <xf numFmtId="0" fontId="12" fillId="0" borderId="0" xfId="0" applyFont="1"/>
    <xf numFmtId="0" fontId="13" fillId="7" borderId="1" xfId="0" applyFont="1" applyFill="1" applyBorder="1" applyAlignment="1">
      <alignment horizontal="center" vertical="center"/>
    </xf>
    <xf numFmtId="17" fontId="13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16" fillId="7" borderId="1" xfId="0" applyNumberFormat="1" applyFont="1" applyFill="1" applyBorder="1" applyAlignment="1">
      <alignment vertical="center"/>
    </xf>
    <xf numFmtId="3" fontId="18" fillId="8" borderId="1" xfId="0" applyNumberFormat="1" applyFont="1" applyFill="1" applyBorder="1" applyAlignment="1">
      <alignment vertical="center"/>
    </xf>
    <xf numFmtId="3" fontId="5" fillId="0" borderId="0" xfId="0" applyNumberFormat="1" applyFont="1"/>
    <xf numFmtId="0" fontId="5" fillId="9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" fontId="13" fillId="7" borderId="4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vertical="center"/>
    </xf>
    <xf numFmtId="3" fontId="20" fillId="2" borderId="4" xfId="0" applyNumberFormat="1" applyFont="1" applyFill="1" applyBorder="1" applyAlignment="1">
      <alignment vertical="center"/>
    </xf>
    <xf numFmtId="3" fontId="20" fillId="2" borderId="1" xfId="0" applyNumberFormat="1" applyFont="1" applyFill="1" applyBorder="1" applyAlignment="1">
      <alignment vertical="center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21" fillId="3" borderId="11" xfId="0" applyFont="1" applyFill="1" applyBorder="1" applyAlignment="1">
      <alignment horizontal="center" vertical="center"/>
    </xf>
    <xf numFmtId="0" fontId="21" fillId="12" borderId="11" xfId="0" applyFont="1" applyFill="1" applyBorder="1" applyAlignment="1">
      <alignment horizontal="center" vertical="center"/>
    </xf>
    <xf numFmtId="17" fontId="22" fillId="0" borderId="11" xfId="0" applyNumberFormat="1" applyFont="1" applyBorder="1" applyAlignment="1">
      <alignment horizontal="center"/>
    </xf>
    <xf numFmtId="0" fontId="22" fillId="12" borderId="11" xfId="0" applyFont="1" applyFill="1" applyBorder="1" applyAlignment="1">
      <alignment horizontal="center"/>
    </xf>
    <xf numFmtId="167" fontId="22" fillId="12" borderId="11" xfId="1" applyNumberFormat="1" applyFont="1" applyFill="1" applyBorder="1" applyAlignment="1">
      <alignment horizontal="center"/>
    </xf>
    <xf numFmtId="167" fontId="22" fillId="5" borderId="11" xfId="1" applyNumberFormat="1" applyFont="1" applyFill="1" applyBorder="1" applyAlignment="1">
      <alignment horizontal="center"/>
    </xf>
    <xf numFmtId="0" fontId="22" fillId="0" borderId="12" xfId="0" applyFont="1" applyBorder="1"/>
    <xf numFmtId="0" fontId="22" fillId="0" borderId="14" xfId="0" applyFont="1" applyBorder="1"/>
    <xf numFmtId="43" fontId="0" fillId="0" borderId="0" xfId="1" applyFont="1" applyAlignment="1">
      <alignment horizontal="left" vertical="center"/>
    </xf>
    <xf numFmtId="43" fontId="0" fillId="0" borderId="0" xfId="0" applyNumberFormat="1"/>
    <xf numFmtId="0" fontId="7" fillId="3" borderId="18" xfId="0" applyFont="1" applyFill="1" applyBorder="1" applyAlignment="1">
      <alignment horizontal="center" vertical="center" wrapText="1"/>
    </xf>
    <xf numFmtId="0" fontId="4" fillId="0" borderId="0" xfId="4">
      <alignment vertical="top"/>
    </xf>
    <xf numFmtId="3" fontId="4" fillId="0" borderId="0" xfId="4" applyNumberFormat="1">
      <alignment vertical="top"/>
    </xf>
    <xf numFmtId="0" fontId="7" fillId="11" borderId="0" xfId="0" applyFont="1" applyFill="1" applyAlignment="1">
      <alignment vertical="top"/>
    </xf>
    <xf numFmtId="0" fontId="7" fillId="11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vertical="top"/>
    </xf>
    <xf numFmtId="0" fontId="5" fillId="0" borderId="0" xfId="0" applyFont="1" applyAlignment="1">
      <alignment vertical="center"/>
    </xf>
    <xf numFmtId="0" fontId="5" fillId="6" borderId="0" xfId="9" applyFont="1" applyFill="1"/>
    <xf numFmtId="0" fontId="5" fillId="6" borderId="0" xfId="0" applyFont="1" applyFill="1" applyAlignment="1">
      <alignment horizontal="center" vertical="center"/>
    </xf>
    <xf numFmtId="0" fontId="5" fillId="6" borderId="0" xfId="0" applyFont="1" applyFill="1"/>
    <xf numFmtId="0" fontId="5" fillId="6" borderId="0" xfId="9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1" xfId="0" applyFont="1" applyFill="1" applyBorder="1" applyAlignment="1">
      <alignment horizontal="center"/>
    </xf>
    <xf numFmtId="43" fontId="0" fillId="0" borderId="11" xfId="1" applyFont="1" applyBorder="1"/>
    <xf numFmtId="4" fontId="3" fillId="0" borderId="11" xfId="0" applyNumberFormat="1" applyFont="1" applyBorder="1"/>
    <xf numFmtId="0" fontId="3" fillId="0" borderId="11" xfId="0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3" fontId="0" fillId="14" borderId="11" xfId="0" applyNumberFormat="1" applyFill="1" applyBorder="1"/>
    <xf numFmtId="4" fontId="0" fillId="3" borderId="11" xfId="0" applyNumberFormat="1" applyFill="1" applyBorder="1" applyAlignment="1">
      <alignment horizontal="center"/>
    </xf>
    <xf numFmtId="3" fontId="0" fillId="0" borderId="11" xfId="0" applyNumberFormat="1" applyBorder="1"/>
    <xf numFmtId="0" fontId="0" fillId="0" borderId="11" xfId="0" applyBorder="1"/>
    <xf numFmtId="3" fontId="0" fillId="0" borderId="11" xfId="0" applyNumberFormat="1" applyBorder="1" applyAlignment="1">
      <alignment horizontal="left"/>
    </xf>
    <xf numFmtId="3" fontId="0" fillId="15" borderId="11" xfId="0" applyNumberFormat="1" applyFill="1" applyBorder="1"/>
    <xf numFmtId="3" fontId="27" fillId="8" borderId="1" xfId="0" applyNumberFormat="1" applyFont="1" applyFill="1" applyBorder="1" applyAlignment="1">
      <alignment vertical="center"/>
    </xf>
    <xf numFmtId="3" fontId="17" fillId="5" borderId="1" xfId="0" applyNumberFormat="1" applyFont="1" applyFill="1" applyBorder="1" applyAlignment="1">
      <alignment horizontal="right"/>
    </xf>
    <xf numFmtId="3" fontId="7" fillId="4" borderId="1" xfId="2" applyNumberFormat="1" applyFont="1" applyFill="1" applyBorder="1" applyAlignment="1" applyProtection="1">
      <alignment horizontal="right"/>
      <protection locked="0"/>
    </xf>
    <xf numFmtId="43" fontId="28" fillId="0" borderId="11" xfId="1" applyFont="1" applyBorder="1"/>
    <xf numFmtId="3" fontId="28" fillId="0" borderId="11" xfId="0" applyNumberFormat="1" applyFont="1" applyBorder="1" applyAlignment="1">
      <alignment horizontal="right"/>
    </xf>
    <xf numFmtId="174" fontId="29" fillId="0" borderId="11" xfId="0" applyNumberFormat="1" applyFont="1" applyBorder="1" applyAlignment="1">
      <alignment horizontal="right"/>
    </xf>
    <xf numFmtId="173" fontId="29" fillId="12" borderId="11" xfId="1" applyNumberFormat="1" applyFont="1" applyFill="1" applyBorder="1"/>
    <xf numFmtId="4" fontId="7" fillId="11" borderId="0" xfId="0" applyNumberFormat="1" applyFont="1" applyFill="1" applyAlignment="1">
      <alignment vertical="top"/>
    </xf>
    <xf numFmtId="43" fontId="7" fillId="11" borderId="0" xfId="1" applyFont="1" applyFill="1" applyAlignment="1">
      <alignment vertical="top"/>
    </xf>
    <xf numFmtId="43" fontId="7" fillId="11" borderId="0" xfId="0" applyNumberFormat="1" applyFont="1" applyFill="1" applyAlignment="1">
      <alignment vertical="top"/>
    </xf>
    <xf numFmtId="167" fontId="30" fillId="4" borderId="11" xfId="1" applyNumberFormat="1" applyFont="1" applyFill="1" applyBorder="1" applyAlignment="1" applyProtection="1">
      <alignment horizontal="center"/>
      <protection locked="0"/>
    </xf>
    <xf numFmtId="175" fontId="7" fillId="6" borderId="1" xfId="0" applyNumberFormat="1" applyFont="1" applyFill="1" applyBorder="1" applyAlignment="1">
      <alignment horizontal="left" wrapText="1"/>
    </xf>
    <xf numFmtId="0" fontId="21" fillId="16" borderId="11" xfId="0" applyFont="1" applyFill="1" applyBorder="1" applyAlignment="1">
      <alignment horizontal="center"/>
    </xf>
    <xf numFmtId="43" fontId="3" fillId="16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vertical="top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3" fontId="17" fillId="10" borderId="1" xfId="2" applyNumberFormat="1" applyFont="1" applyFill="1" applyBorder="1" applyAlignment="1" applyProtection="1">
      <alignment horizontal="right"/>
      <protection locked="0"/>
    </xf>
    <xf numFmtId="3" fontId="16" fillId="7" borderId="5" xfId="0" applyNumberFormat="1" applyFont="1" applyFill="1" applyBorder="1" applyAlignment="1">
      <alignment vertical="center"/>
    </xf>
    <xf numFmtId="17" fontId="13" fillId="7" borderId="1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/>
    <xf numFmtId="3" fontId="16" fillId="7" borderId="11" xfId="0" applyNumberFormat="1" applyFont="1" applyFill="1" applyBorder="1" applyAlignment="1">
      <alignment vertical="center"/>
    </xf>
    <xf numFmtId="10" fontId="5" fillId="6" borderId="0" xfId="3" applyNumberFormat="1" applyFont="1" applyFill="1"/>
    <xf numFmtId="167" fontId="28" fillId="0" borderId="11" xfId="1" applyNumberFormat="1" applyFont="1" applyBorder="1"/>
    <xf numFmtId="167" fontId="3" fillId="12" borderId="11" xfId="1" applyNumberFormat="1" applyFont="1" applyFill="1" applyBorder="1"/>
    <xf numFmtId="0" fontId="11" fillId="2" borderId="5" xfId="0" applyFont="1" applyFill="1" applyBorder="1" applyAlignment="1">
      <alignment horizontal="left" vertical="center" wrapText="1"/>
    </xf>
    <xf numFmtId="10" fontId="5" fillId="0" borderId="0" xfId="0" applyNumberFormat="1" applyFont="1"/>
    <xf numFmtId="17" fontId="20" fillId="0" borderId="0" xfId="0" applyNumberFormat="1" applyFont="1" applyAlignment="1">
      <alignment horizontal="left" vertical="center" wrapText="1"/>
    </xf>
    <xf numFmtId="43" fontId="0" fillId="0" borderId="0" xfId="1" applyFont="1"/>
    <xf numFmtId="0" fontId="15" fillId="0" borderId="0" xfId="0" applyFont="1"/>
    <xf numFmtId="167" fontId="3" fillId="12" borderId="11" xfId="0" applyNumberFormat="1" applyFont="1" applyFill="1" applyBorder="1" applyAlignment="1">
      <alignment horizontal="center"/>
    </xf>
    <xf numFmtId="0" fontId="5" fillId="0" borderId="0" xfId="0" applyFont="1" applyFill="1"/>
    <xf numFmtId="3" fontId="18" fillId="8" borderId="18" xfId="0" applyNumberFormat="1" applyFont="1" applyFill="1" applyBorder="1" applyAlignment="1">
      <alignment vertical="center"/>
    </xf>
    <xf numFmtId="3" fontId="8" fillId="0" borderId="0" xfId="0" applyNumberFormat="1" applyFont="1" applyFill="1"/>
    <xf numFmtId="164" fontId="0" fillId="0" borderId="0" xfId="0" applyNumberFormat="1"/>
    <xf numFmtId="164" fontId="35" fillId="0" borderId="0" xfId="0" applyNumberFormat="1" applyFont="1"/>
    <xf numFmtId="4" fontId="35" fillId="0" borderId="0" xfId="0" applyNumberFormat="1" applyFont="1"/>
    <xf numFmtId="167" fontId="22" fillId="5" borderId="6" xfId="1" applyNumberFormat="1" applyFont="1" applyFill="1" applyBorder="1" applyAlignment="1">
      <alignment horizontal="right"/>
    </xf>
    <xf numFmtId="9" fontId="22" fillId="5" borderId="9" xfId="0" applyNumberFormat="1" applyFont="1" applyFill="1" applyBorder="1" applyAlignment="1">
      <alignment horizontal="right"/>
    </xf>
    <xf numFmtId="167" fontId="22" fillId="5" borderId="9" xfId="1" applyNumberFormat="1" applyFont="1" applyFill="1" applyBorder="1" applyAlignment="1">
      <alignment horizontal="right"/>
    </xf>
    <xf numFmtId="167" fontId="22" fillId="5" borderId="13" xfId="1" applyNumberFormat="1" applyFont="1" applyFill="1" applyBorder="1" applyAlignment="1">
      <alignment horizontal="right"/>
    </xf>
    <xf numFmtId="9" fontId="22" fillId="5" borderId="15" xfId="0" applyNumberFormat="1" applyFont="1" applyFill="1" applyBorder="1" applyAlignment="1">
      <alignment horizontal="right"/>
    </xf>
    <xf numFmtId="167" fontId="22" fillId="5" borderId="15" xfId="1" applyNumberFormat="1" applyFont="1" applyFill="1" applyBorder="1" applyAlignment="1">
      <alignment horizontal="right"/>
    </xf>
    <xf numFmtId="3" fontId="20" fillId="2" borderId="18" xfId="0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/>
    <xf numFmtId="3" fontId="5" fillId="0" borderId="0" xfId="0" applyNumberFormat="1" applyFont="1" applyBorder="1"/>
    <xf numFmtId="9" fontId="5" fillId="0" borderId="0" xfId="3" applyFont="1" applyBorder="1"/>
    <xf numFmtId="175" fontId="7" fillId="6" borderId="0" xfId="0" applyNumberFormat="1" applyFont="1" applyFill="1" applyBorder="1" applyAlignment="1">
      <alignment horizontal="left" wrapText="1"/>
    </xf>
    <xf numFmtId="0" fontId="0" fillId="0" borderId="0" xfId="0" applyFill="1"/>
    <xf numFmtId="0" fontId="28" fillId="0" borderId="11" xfId="0" applyFont="1" applyBorder="1" applyAlignment="1">
      <alignment horizontal="center"/>
    </xf>
    <xf numFmtId="3" fontId="28" fillId="0" borderId="1" xfId="2" applyNumberFormat="1" applyFont="1" applyFill="1" applyBorder="1" applyAlignment="1" applyProtection="1">
      <alignment horizontal="right"/>
      <protection locked="0"/>
    </xf>
    <xf numFmtId="0" fontId="5" fillId="0" borderId="0" xfId="9" applyFont="1" applyFill="1" applyBorder="1"/>
    <xf numFmtId="177" fontId="5" fillId="6" borderId="0" xfId="9" applyNumberFormat="1" applyFont="1" applyFill="1"/>
    <xf numFmtId="165" fontId="13" fillId="0" borderId="0" xfId="0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4" fontId="0" fillId="0" borderId="0" xfId="0" applyNumberFormat="1"/>
    <xf numFmtId="174" fontId="0" fillId="0" borderId="0" xfId="0" applyNumberFormat="1" applyFill="1"/>
    <xf numFmtId="173" fontId="0" fillId="0" borderId="0" xfId="1" applyNumberFormat="1" applyFont="1" applyAlignment="1">
      <alignment horizontal="center" vertical="top" wrapText="1"/>
    </xf>
    <xf numFmtId="9" fontId="5" fillId="0" borderId="0" xfId="0" applyNumberFormat="1" applyFont="1"/>
    <xf numFmtId="0" fontId="0" fillId="11" borderId="0" xfId="0" applyFill="1"/>
    <xf numFmtId="4" fontId="37" fillId="11" borderId="0" xfId="0" applyNumberFormat="1" applyFont="1" applyFill="1" applyBorder="1" applyAlignment="1">
      <alignment horizontal="right" vertical="center" wrapText="1"/>
    </xf>
    <xf numFmtId="0" fontId="0" fillId="11" borderId="0" xfId="0" applyFill="1" applyBorder="1"/>
    <xf numFmtId="0" fontId="37" fillId="11" borderId="0" xfId="0" applyFont="1" applyFill="1" applyBorder="1" applyAlignment="1">
      <alignment horizontal="left" vertical="center" wrapText="1"/>
    </xf>
    <xf numFmtId="0" fontId="37" fillId="11" borderId="0" xfId="0" applyFont="1" applyFill="1" applyBorder="1" applyAlignment="1">
      <alignment horizontal="right" vertical="center" wrapText="1"/>
    </xf>
    <xf numFmtId="3" fontId="0" fillId="11" borderId="0" xfId="0" applyNumberFormat="1" applyFill="1"/>
    <xf numFmtId="167" fontId="0" fillId="11" borderId="0" xfId="0" applyNumberFormat="1" applyFill="1"/>
    <xf numFmtId="3" fontId="36" fillId="11" borderId="0" xfId="0" applyNumberFormat="1" applyFont="1" applyFill="1"/>
    <xf numFmtId="3" fontId="17" fillId="10" borderId="5" xfId="2" applyNumberFormat="1" applyFont="1" applyFill="1" applyBorder="1" applyAlignment="1" applyProtection="1">
      <alignment horizontal="right"/>
      <protection locked="0"/>
    </xf>
    <xf numFmtId="0" fontId="5" fillId="0" borderId="18" xfId="0" applyFont="1" applyBorder="1" applyAlignment="1">
      <alignment horizontal="center" vertical="center"/>
    </xf>
    <xf numFmtId="3" fontId="17" fillId="10" borderId="18" xfId="2" applyNumberFormat="1" applyFont="1" applyFill="1" applyBorder="1" applyAlignment="1" applyProtection="1">
      <alignment horizontal="right"/>
      <protection locked="0"/>
    </xf>
    <xf numFmtId="0" fontId="5" fillId="11" borderId="0" xfId="0" applyFont="1" applyFill="1" applyBorder="1" applyAlignment="1">
      <alignment horizontal="center" vertical="center"/>
    </xf>
    <xf numFmtId="3" fontId="17" fillId="10" borderId="29" xfId="2" applyNumberFormat="1" applyFont="1" applyFill="1" applyBorder="1" applyAlignment="1" applyProtection="1">
      <alignment horizontal="right"/>
      <protection locked="0"/>
    </xf>
    <xf numFmtId="3" fontId="17" fillId="10" borderId="11" xfId="2" applyNumberFormat="1" applyFont="1" applyFill="1" applyBorder="1" applyAlignment="1" applyProtection="1">
      <alignment horizontal="right"/>
      <protection locked="0"/>
    </xf>
    <xf numFmtId="3" fontId="17" fillId="10" borderId="17" xfId="2" applyNumberFormat="1" applyFont="1" applyFill="1" applyBorder="1" applyAlignment="1" applyProtection="1">
      <alignment horizontal="right"/>
      <protection locked="0"/>
    </xf>
    <xf numFmtId="0" fontId="5" fillId="0" borderId="11" xfId="0" applyFont="1" applyBorder="1" applyAlignment="1">
      <alignment horizontal="center" vertical="center"/>
    </xf>
    <xf numFmtId="3" fontId="17" fillId="11" borderId="15" xfId="2" applyNumberFormat="1" applyFont="1" applyFill="1" applyBorder="1" applyAlignment="1" applyProtection="1">
      <alignment horizontal="right"/>
      <protection locked="0"/>
    </xf>
    <xf numFmtId="0" fontId="13" fillId="7" borderId="18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43" fontId="29" fillId="17" borderId="32" xfId="1" applyFont="1" applyFill="1" applyBorder="1" applyAlignment="1">
      <alignment horizontal="right"/>
    </xf>
    <xf numFmtId="43" fontId="38" fillId="17" borderId="32" xfId="1" applyFont="1" applyFill="1" applyBorder="1" applyAlignment="1">
      <alignment horizontal="right"/>
    </xf>
    <xf numFmtId="178" fontId="28" fillId="0" borderId="0" xfId="1" applyNumberFormat="1" applyFont="1" applyBorder="1" applyAlignment="1">
      <alignment horizontal="right"/>
    </xf>
    <xf numFmtId="167" fontId="5" fillId="6" borderId="0" xfId="1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left"/>
    </xf>
    <xf numFmtId="3" fontId="35" fillId="18" borderId="0" xfId="0" applyNumberFormat="1" applyFont="1" applyFill="1" applyBorder="1"/>
    <xf numFmtId="167" fontId="0" fillId="0" borderId="0" xfId="0" applyNumberFormat="1"/>
    <xf numFmtId="4" fontId="0" fillId="11" borderId="0" xfId="0" applyNumberFormat="1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77" fontId="5" fillId="0" borderId="0" xfId="0" applyNumberFormat="1" applyFont="1" applyAlignment="1">
      <alignment horizontal="left"/>
    </xf>
    <xf numFmtId="171" fontId="5" fillId="0" borderId="0" xfId="0" applyNumberFormat="1" applyFont="1" applyAlignment="1">
      <alignment horizontal="left"/>
    </xf>
    <xf numFmtId="175" fontId="7" fillId="6" borderId="29" xfId="0" applyNumberFormat="1" applyFont="1" applyFill="1" applyBorder="1" applyAlignment="1">
      <alignment horizontal="left" wrapText="1"/>
    </xf>
    <xf numFmtId="175" fontId="7" fillId="6" borderId="11" xfId="0" applyNumberFormat="1" applyFont="1" applyFill="1" applyBorder="1" applyAlignment="1">
      <alignment horizontal="left" wrapText="1"/>
    </xf>
    <xf numFmtId="10" fontId="5" fillId="11" borderId="0" xfId="3" applyNumberFormat="1" applyFont="1" applyFill="1"/>
    <xf numFmtId="9" fontId="5" fillId="11" borderId="0" xfId="3" applyFont="1" applyFill="1"/>
    <xf numFmtId="3" fontId="18" fillId="8" borderId="1" xfId="0" applyNumberFormat="1" applyFont="1" applyFill="1" applyBorder="1" applyAlignment="1">
      <alignment horizontal="center" vertical="center"/>
    </xf>
    <xf numFmtId="0" fontId="22" fillId="0" borderId="11" xfId="0" applyFont="1" applyBorder="1"/>
    <xf numFmtId="2" fontId="22" fillId="5" borderId="11" xfId="0" applyNumberFormat="1" applyFont="1" applyFill="1" applyBorder="1" applyAlignment="1">
      <alignment horizontal="right"/>
    </xf>
    <xf numFmtId="0" fontId="2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173" fontId="3" fillId="11" borderId="0" xfId="0" applyNumberFormat="1" applyFont="1" applyFill="1" applyBorder="1" applyAlignment="1">
      <alignment horizontal="center"/>
    </xf>
    <xf numFmtId="3" fontId="28" fillId="11" borderId="11" xfId="0" applyNumberFormat="1" applyFont="1" applyFill="1" applyBorder="1" applyAlignment="1">
      <alignment horizontal="right"/>
    </xf>
    <xf numFmtId="179" fontId="28" fillId="0" borderId="11" xfId="0" applyNumberFormat="1" applyFont="1" applyBorder="1" applyAlignment="1">
      <alignment horizontal="right"/>
    </xf>
    <xf numFmtId="179" fontId="28" fillId="14" borderId="11" xfId="0" applyNumberFormat="1" applyFont="1" applyFill="1" applyBorder="1" applyAlignment="1">
      <alignment horizontal="right"/>
    </xf>
    <xf numFmtId="179" fontId="29" fillId="14" borderId="11" xfId="0" applyNumberFormat="1" applyFont="1" applyFill="1" applyBorder="1" applyAlignment="1">
      <alignment horizontal="right"/>
    </xf>
    <xf numFmtId="179" fontId="28" fillId="15" borderId="11" xfId="0" applyNumberFormat="1" applyFont="1" applyFill="1" applyBorder="1" applyAlignment="1">
      <alignment horizontal="right"/>
    </xf>
    <xf numFmtId="179" fontId="29" fillId="15" borderId="11" xfId="0" applyNumberFormat="1" applyFont="1" applyFill="1" applyBorder="1" applyAlignment="1">
      <alignment horizontal="right"/>
    </xf>
    <xf numFmtId="179" fontId="29" fillId="12" borderId="11" xfId="0" applyNumberFormat="1" applyFont="1" applyFill="1" applyBorder="1"/>
    <xf numFmtId="167" fontId="0" fillId="0" borderId="0" xfId="1" applyNumberFormat="1" applyFont="1"/>
    <xf numFmtId="17" fontId="13" fillId="3" borderId="11" xfId="0" applyNumberFormat="1" applyFont="1" applyFill="1" applyBorder="1" applyAlignment="1">
      <alignment horizontal="center"/>
    </xf>
    <xf numFmtId="43" fontId="5" fillId="0" borderId="0" xfId="0" applyNumberFormat="1" applyFont="1"/>
    <xf numFmtId="43" fontId="3" fillId="0" borderId="11" xfId="0" applyNumberFormat="1" applyFont="1" applyBorder="1"/>
    <xf numFmtId="3" fontId="3" fillId="0" borderId="11" xfId="0" applyNumberFormat="1" applyFont="1" applyBorder="1"/>
    <xf numFmtId="3" fontId="29" fillId="0" borderId="11" xfId="0" applyNumberFormat="1" applyFont="1" applyBorder="1" applyAlignment="1">
      <alignment horizontal="right"/>
    </xf>
    <xf numFmtId="0" fontId="22" fillId="11" borderId="0" xfId="0" applyFont="1" applyFill="1" applyBorder="1"/>
    <xf numFmtId="2" fontId="22" fillId="11" borderId="0" xfId="0" applyNumberFormat="1" applyFont="1" applyFill="1" applyBorder="1" applyAlignment="1">
      <alignment horizontal="right"/>
    </xf>
    <xf numFmtId="43" fontId="0" fillId="11" borderId="0" xfId="0" applyNumberFormat="1" applyFill="1" applyBorder="1"/>
    <xf numFmtId="10" fontId="28" fillId="0" borderId="7" xfId="3" applyNumberFormat="1" applyFont="1" applyBorder="1"/>
    <xf numFmtId="10" fontId="0" fillId="0" borderId="0" xfId="3" applyNumberFormat="1" applyFont="1"/>
    <xf numFmtId="0" fontId="7" fillId="3" borderId="4" xfId="0" applyFont="1" applyFill="1" applyBorder="1" applyAlignment="1">
      <alignment horizontal="center" vertical="center" wrapText="1"/>
    </xf>
    <xf numFmtId="2" fontId="33" fillId="6" borderId="0" xfId="9" applyNumberFormat="1" applyFont="1" applyFill="1"/>
    <xf numFmtId="0" fontId="2" fillId="2" borderId="21" xfId="0" applyFont="1" applyFill="1" applyBorder="1" applyAlignment="1">
      <alignment horizontal="center" vertical="center"/>
    </xf>
    <xf numFmtId="17" fontId="28" fillId="0" borderId="26" xfId="0" applyNumberFormat="1" applyFont="1" applyBorder="1" applyAlignment="1">
      <alignment horizontal="left"/>
    </xf>
    <xf numFmtId="49" fontId="28" fillId="4" borderId="21" xfId="2" applyNumberFormat="1" applyFont="1" applyFill="1" applyBorder="1" applyAlignment="1">
      <alignment horizontal="right"/>
    </xf>
    <xf numFmtId="17" fontId="28" fillId="0" borderId="21" xfId="0" applyNumberFormat="1" applyFont="1" applyBorder="1" applyAlignment="1">
      <alignment horizontal="left"/>
    </xf>
    <xf numFmtId="17" fontId="28" fillId="0" borderId="26" xfId="0" applyNumberFormat="1" applyFont="1" applyBorder="1" applyAlignment="1">
      <alignment horizontal="center"/>
    </xf>
    <xf numFmtId="165" fontId="28" fillId="0" borderId="21" xfId="2" applyNumberFormat="1" applyFont="1" applyFill="1" applyBorder="1"/>
    <xf numFmtId="165" fontId="29" fillId="3" borderId="25" xfId="0" applyNumberFormat="1" applyFont="1" applyFill="1" applyBorder="1" applyAlignment="1">
      <alignment vertical="center"/>
    </xf>
    <xf numFmtId="0" fontId="2" fillId="2" borderId="21" xfId="4" applyFont="1" applyFill="1" applyBorder="1" applyAlignment="1">
      <alignment horizontal="center" vertical="center" wrapText="1"/>
    </xf>
    <xf numFmtId="0" fontId="2" fillId="2" borderId="21" xfId="4" applyFont="1" applyFill="1" applyBorder="1" applyAlignment="1">
      <alignment horizontal="center"/>
    </xf>
    <xf numFmtId="0" fontId="28" fillId="6" borderId="1" xfId="0" applyFont="1" applyFill="1" applyBorder="1" applyAlignment="1">
      <alignment vertical="center"/>
    </xf>
    <xf numFmtId="3" fontId="28" fillId="5" borderId="1" xfId="0" applyNumberFormat="1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2" fillId="2" borderId="21" xfId="0" applyFont="1" applyFill="1" applyBorder="1" applyAlignment="1">
      <alignment horizontal="left" vertical="center" wrapText="1"/>
    </xf>
    <xf numFmtId="3" fontId="2" fillId="2" borderId="21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horizontal="right" vertical="center"/>
    </xf>
    <xf numFmtId="0" fontId="2" fillId="11" borderId="0" xfId="0" applyFont="1" applyFill="1" applyBorder="1" applyAlignment="1">
      <alignment horizontal="left" vertical="center" wrapText="1"/>
    </xf>
    <xf numFmtId="3" fontId="2" fillId="11" borderId="0" xfId="0" applyNumberFormat="1" applyFont="1" applyFill="1" applyBorder="1" applyAlignment="1">
      <alignment horizontal="right" vertical="center"/>
    </xf>
    <xf numFmtId="17" fontId="28" fillId="0" borderId="5" xfId="0" applyNumberFormat="1" applyFont="1" applyBorder="1" applyAlignment="1">
      <alignment horizontal="left" vertical="center" wrapText="1"/>
    </xf>
    <xf numFmtId="171" fontId="28" fillId="5" borderId="1" xfId="0" applyNumberFormat="1" applyFont="1" applyFill="1" applyBorder="1" applyAlignment="1">
      <alignment horizontal="center" vertical="center" wrapText="1"/>
    </xf>
    <xf numFmtId="17" fontId="28" fillId="0" borderId="5" xfId="0" applyNumberFormat="1" applyFont="1" applyBorder="1" applyAlignment="1">
      <alignment horizontal="center" vertical="center" wrapText="1"/>
    </xf>
    <xf numFmtId="17" fontId="28" fillId="0" borderId="21" xfId="4" applyNumberFormat="1" applyFont="1" applyBorder="1" applyAlignment="1">
      <alignment horizontal="center" vertical="center"/>
    </xf>
    <xf numFmtId="169" fontId="28" fillId="5" borderId="21" xfId="8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10" fontId="28" fillId="5" borderId="1" xfId="0" applyNumberFormat="1" applyFont="1" applyFill="1" applyBorder="1" applyAlignment="1">
      <alignment horizontal="center" vertical="center" wrapText="1"/>
    </xf>
    <xf numFmtId="10" fontId="28" fillId="5" borderId="1" xfId="2" applyNumberFormat="1" applyFont="1" applyFill="1" applyBorder="1" applyAlignment="1">
      <alignment horizontal="center" vertical="center"/>
    </xf>
    <xf numFmtId="0" fontId="45" fillId="0" borderId="5" xfId="0" applyFont="1" applyBorder="1" applyAlignment="1">
      <alignment vertical="center" wrapText="1"/>
    </xf>
    <xf numFmtId="10" fontId="45" fillId="5" borderId="1" xfId="0" applyNumberFormat="1" applyFont="1" applyFill="1" applyBorder="1" applyAlignment="1">
      <alignment horizontal="center" vertical="center" wrapText="1"/>
    </xf>
    <xf numFmtId="10" fontId="28" fillId="5" borderId="22" xfId="3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/>
    </xf>
    <xf numFmtId="3" fontId="28" fillId="0" borderId="1" xfId="8" applyNumberFormat="1" applyFont="1" applyFill="1" applyBorder="1" applyAlignment="1">
      <alignment horizontal="center" vertical="center"/>
    </xf>
    <xf numFmtId="3" fontId="28" fillId="0" borderId="1" xfId="4" applyNumberFormat="1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170" fontId="45" fillId="0" borderId="18" xfId="0" applyNumberFormat="1" applyFont="1" applyBorder="1" applyAlignment="1">
      <alignment horizontal="center" wrapText="1"/>
    </xf>
    <xf numFmtId="3" fontId="28" fillId="4" borderId="1" xfId="2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right" vertical="center" wrapText="1"/>
    </xf>
    <xf numFmtId="3" fontId="2" fillId="2" borderId="1" xfId="3" applyNumberFormat="1" applyFont="1" applyFill="1" applyBorder="1" applyAlignment="1">
      <alignment horizontal="right" vertical="center"/>
    </xf>
    <xf numFmtId="0" fontId="50" fillId="0" borderId="0" xfId="0" applyFont="1"/>
    <xf numFmtId="0" fontId="5" fillId="0" borderId="0" xfId="0" applyFont="1" applyAlignment="1">
      <alignment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43" fontId="28" fillId="5" borderId="1" xfId="1" applyFont="1" applyFill="1" applyBorder="1" applyAlignment="1">
      <alignment horizontal="center" vertical="center" wrapText="1"/>
    </xf>
    <xf numFmtId="167" fontId="28" fillId="5" borderId="1" xfId="1" applyNumberFormat="1" applyFont="1" applyFill="1" applyBorder="1" applyAlignment="1">
      <alignment horizontal="center" vertical="center" wrapText="1"/>
    </xf>
    <xf numFmtId="176" fontId="28" fillId="5" borderId="1" xfId="2" applyNumberFormat="1" applyFont="1" applyFill="1" applyBorder="1" applyAlignment="1">
      <alignment horizontal="center" vertical="center"/>
    </xf>
    <xf numFmtId="17" fontId="28" fillId="0" borderId="5" xfId="0" applyNumberFormat="1" applyFont="1" applyBorder="1" applyAlignment="1">
      <alignment horizontal="left" wrapText="1"/>
    </xf>
    <xf numFmtId="43" fontId="28" fillId="5" borderId="1" xfId="1" applyFont="1" applyFill="1" applyBorder="1" applyAlignment="1">
      <alignment horizontal="center" wrapText="1"/>
    </xf>
    <xf numFmtId="167" fontId="28" fillId="5" borderId="1" xfId="1" applyNumberFormat="1" applyFont="1" applyFill="1" applyBorder="1" applyAlignment="1">
      <alignment horizontal="center" wrapText="1"/>
    </xf>
    <xf numFmtId="176" fontId="28" fillId="5" borderId="1" xfId="2" applyNumberFormat="1" applyFont="1" applyFill="1" applyBorder="1" applyAlignment="1">
      <alignment horizontal="center"/>
    </xf>
    <xf numFmtId="10" fontId="2" fillId="2" borderId="1" xfId="3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10" fontId="2" fillId="2" borderId="1" xfId="3" applyNumberFormat="1" applyFont="1" applyFill="1" applyBorder="1" applyAlignment="1">
      <alignment horizontal="center" vertical="center"/>
    </xf>
    <xf numFmtId="0" fontId="45" fillId="0" borderId="0" xfId="0" applyFont="1"/>
    <xf numFmtId="0" fontId="0" fillId="0" borderId="11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78" fontId="28" fillId="0" borderId="11" xfId="1" applyNumberFormat="1" applyFont="1" applyBorder="1"/>
    <xf numFmtId="178" fontId="3" fillId="12" borderId="11" xfId="1" applyNumberFormat="1" applyFont="1" applyFill="1" applyBorder="1"/>
    <xf numFmtId="167" fontId="0" fillId="0" borderId="11" xfId="1" applyNumberFormat="1" applyFont="1" applyBorder="1"/>
    <xf numFmtId="17" fontId="28" fillId="0" borderId="26" xfId="0" applyNumberFormat="1" applyFont="1" applyBorder="1" applyAlignment="1">
      <alignment horizontal="left" vertical="center"/>
    </xf>
    <xf numFmtId="17" fontId="28" fillId="0" borderId="26" xfId="0" applyNumberFormat="1" applyFont="1" applyBorder="1" applyAlignment="1">
      <alignment horizontal="center" vertical="center"/>
    </xf>
    <xf numFmtId="17" fontId="28" fillId="11" borderId="21" xfId="0" applyNumberFormat="1" applyFont="1" applyFill="1" applyBorder="1" applyAlignment="1">
      <alignment horizontal="left" vertical="center"/>
    </xf>
    <xf numFmtId="17" fontId="28" fillId="11" borderId="21" xfId="0" applyNumberFormat="1" applyFont="1" applyFill="1" applyBorder="1" applyAlignment="1">
      <alignment horizontal="center" vertical="center"/>
    </xf>
    <xf numFmtId="3" fontId="28" fillId="5" borderId="21" xfId="2" applyNumberFormat="1" applyFont="1" applyFill="1" applyBorder="1" applyAlignment="1">
      <alignment vertical="center"/>
    </xf>
    <xf numFmtId="0" fontId="45" fillId="6" borderId="0" xfId="9" applyFont="1" applyFill="1" applyAlignment="1">
      <alignment horizontal="center" vertical="center"/>
    </xf>
    <xf numFmtId="165" fontId="28" fillId="5" borderId="21" xfId="2" applyNumberFormat="1" applyFont="1" applyFill="1" applyBorder="1" applyAlignment="1">
      <alignment horizontal="right"/>
    </xf>
    <xf numFmtId="17" fontId="28" fillId="0" borderId="21" xfId="0" applyNumberFormat="1" applyFont="1" applyBorder="1" applyAlignment="1">
      <alignment horizontal="center"/>
    </xf>
    <xf numFmtId="10" fontId="2" fillId="2" borderId="21" xfId="3" applyNumberFormat="1" applyFont="1" applyFill="1" applyBorder="1" applyAlignment="1">
      <alignment horizontal="right" vertical="center"/>
    </xf>
    <xf numFmtId="0" fontId="51" fillId="6" borderId="0" xfId="9" applyFont="1" applyFill="1" applyAlignment="1">
      <alignment horizontal="left" vertical="center"/>
    </xf>
    <xf numFmtId="0" fontId="52" fillId="0" borderId="5" xfId="0" applyFont="1" applyBorder="1" applyAlignment="1">
      <alignment vertical="center" wrapText="1"/>
    </xf>
    <xf numFmtId="3" fontId="52" fillId="0" borderId="5" xfId="0" applyNumberFormat="1" applyFont="1" applyFill="1" applyBorder="1" applyAlignment="1">
      <alignment horizontal="center" vertical="center" wrapText="1"/>
    </xf>
    <xf numFmtId="10" fontId="20" fillId="0" borderId="0" xfId="1" applyNumberFormat="1" applyFont="1"/>
    <xf numFmtId="180" fontId="0" fillId="0" borderId="0" xfId="0" applyNumberFormat="1"/>
    <xf numFmtId="0" fontId="29" fillId="3" borderId="1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/>
    </xf>
    <xf numFmtId="10" fontId="0" fillId="11" borderId="0" xfId="3" applyNumberFormat="1" applyFont="1" applyFill="1" applyAlignment="1">
      <alignment horizontal="left"/>
    </xf>
    <xf numFmtId="0" fontId="3" fillId="12" borderId="11" xfId="0" applyFont="1" applyFill="1" applyBorder="1" applyAlignment="1">
      <alignment horizontal="center"/>
    </xf>
    <xf numFmtId="0" fontId="54" fillId="19" borderId="11" xfId="0" applyFont="1" applyFill="1" applyBorder="1" applyAlignment="1">
      <alignment horizontal="left" vertical="center" wrapText="1"/>
    </xf>
    <xf numFmtId="3" fontId="54" fillId="19" borderId="11" xfId="0" applyNumberFormat="1" applyFont="1" applyFill="1" applyBorder="1" applyAlignment="1">
      <alignment horizontal="right" vertical="center"/>
    </xf>
    <xf numFmtId="4" fontId="7" fillId="20" borderId="0" xfId="0" applyNumberFormat="1" applyFont="1" applyFill="1" applyAlignment="1">
      <alignment vertical="top"/>
    </xf>
    <xf numFmtId="0" fontId="7" fillId="20" borderId="0" xfId="0" applyFont="1" applyFill="1" applyAlignment="1">
      <alignment vertical="top"/>
    </xf>
    <xf numFmtId="0" fontId="54" fillId="19" borderId="35" xfId="0" applyFont="1" applyFill="1" applyBorder="1" applyAlignment="1">
      <alignment horizontal="left" vertical="center" wrapText="1"/>
    </xf>
    <xf numFmtId="10" fontId="54" fillId="19" borderId="35" xfId="0" applyNumberFormat="1" applyFont="1" applyFill="1" applyBorder="1" applyAlignment="1">
      <alignment horizontal="right" vertical="center"/>
    </xf>
    <xf numFmtId="173" fontId="28" fillId="0" borderId="11" xfId="1" applyNumberFormat="1" applyFont="1" applyBorder="1"/>
    <xf numFmtId="173" fontId="29" fillId="0" borderId="11" xfId="1" applyNumberFormat="1" applyFont="1" applyBorder="1"/>
    <xf numFmtId="167" fontId="4" fillId="11" borderId="11" xfId="1" applyNumberFormat="1" applyFont="1" applyFill="1" applyBorder="1" applyAlignment="1">
      <alignment vertical="center"/>
    </xf>
    <xf numFmtId="167" fontId="3" fillId="11" borderId="0" xfId="0" applyNumberFormat="1" applyFont="1" applyFill="1" applyBorder="1" applyAlignment="1">
      <alignment horizontal="center"/>
    </xf>
    <xf numFmtId="0" fontId="56" fillId="22" borderId="0" xfId="0" applyFont="1" applyFill="1"/>
    <xf numFmtId="0" fontId="57" fillId="22" borderId="0" xfId="14" applyFont="1" applyFill="1" applyAlignment="1">
      <alignment horizontal="left" vertical="center" indent="1"/>
    </xf>
    <xf numFmtId="0" fontId="56" fillId="11" borderId="0" xfId="0" applyFont="1" applyFill="1"/>
    <xf numFmtId="0" fontId="57" fillId="22" borderId="0" xfId="0" applyFont="1" applyFill="1" applyAlignment="1">
      <alignment horizontal="left" indent="1"/>
    </xf>
    <xf numFmtId="0" fontId="58" fillId="22" borderId="0" xfId="14" applyFont="1" applyFill="1" applyAlignment="1">
      <alignment horizontal="left" vertical="center" indent="1"/>
    </xf>
    <xf numFmtId="0" fontId="59" fillId="22" borderId="0" xfId="13" applyFont="1" applyFill="1" applyAlignment="1">
      <alignment horizontal="center" vertical="center"/>
    </xf>
    <xf numFmtId="0" fontId="4" fillId="11" borderId="0" xfId="13" applyFill="1"/>
    <xf numFmtId="0" fontId="58" fillId="11" borderId="0" xfId="14" applyFont="1" applyFill="1" applyAlignment="1">
      <alignment horizontal="left" vertical="center" indent="1"/>
    </xf>
    <xf numFmtId="0" fontId="59" fillId="11" borderId="0" xfId="13" applyFont="1" applyFill="1" applyAlignment="1">
      <alignment horizontal="center" vertical="center"/>
    </xf>
    <xf numFmtId="0" fontId="0" fillId="11" borderId="12" xfId="0" applyFill="1" applyBorder="1"/>
    <xf numFmtId="0" fontId="0" fillId="11" borderId="36" xfId="0" applyFill="1" applyBorder="1"/>
    <xf numFmtId="0" fontId="4" fillId="11" borderId="36" xfId="13" applyFill="1" applyBorder="1"/>
    <xf numFmtId="0" fontId="0" fillId="11" borderId="13" xfId="0" applyFill="1" applyBorder="1"/>
    <xf numFmtId="0" fontId="0" fillId="11" borderId="14" xfId="0" applyFill="1" applyBorder="1"/>
    <xf numFmtId="0" fontId="0" fillId="11" borderId="15" xfId="0" applyFill="1" applyBorder="1"/>
    <xf numFmtId="0" fontId="4" fillId="11" borderId="0" xfId="13" applyFill="1" applyAlignment="1">
      <alignment vertical="center"/>
    </xf>
    <xf numFmtId="43" fontId="4" fillId="11" borderId="0" xfId="1" applyFont="1" applyFill="1" applyBorder="1" applyAlignment="1">
      <alignment vertical="center"/>
    </xf>
    <xf numFmtId="0" fontId="0" fillId="11" borderId="37" xfId="0" applyFill="1" applyBorder="1"/>
    <xf numFmtId="0" fontId="4" fillId="11" borderId="38" xfId="13" applyFill="1" applyBorder="1"/>
    <xf numFmtId="0" fontId="0" fillId="11" borderId="39" xfId="0" applyFill="1" applyBorder="1"/>
    <xf numFmtId="0" fontId="0" fillId="11" borderId="40" xfId="0" applyFill="1" applyBorder="1"/>
    <xf numFmtId="0" fontId="60" fillId="5" borderId="36" xfId="13" applyFont="1" applyFill="1" applyBorder="1" applyAlignment="1">
      <alignment vertical="center"/>
    </xf>
    <xf numFmtId="0" fontId="60" fillId="5" borderId="36" xfId="13" applyFont="1" applyFill="1" applyBorder="1" applyAlignment="1">
      <alignment horizontal="center" vertical="center"/>
    </xf>
    <xf numFmtId="0" fontId="0" fillId="11" borderId="41" xfId="0" applyFill="1" applyBorder="1"/>
    <xf numFmtId="0" fontId="4" fillId="11" borderId="0" xfId="14" applyFill="1" applyAlignment="1">
      <alignment vertical="center"/>
    </xf>
    <xf numFmtId="181" fontId="4" fillId="11" borderId="0" xfId="11" applyNumberFormat="1" applyFont="1" applyFill="1" applyBorder="1"/>
    <xf numFmtId="0" fontId="4" fillId="11" borderId="0" xfId="14" applyFill="1" applyAlignment="1">
      <alignment horizontal="left" vertical="center"/>
    </xf>
    <xf numFmtId="10" fontId="4" fillId="11" borderId="0" xfId="3" applyNumberFormat="1" applyFont="1" applyFill="1" applyBorder="1"/>
    <xf numFmtId="0" fontId="60" fillId="11" borderId="38" xfId="13" applyFont="1" applyFill="1" applyBorder="1" applyAlignment="1">
      <alignment vertical="center"/>
    </xf>
    <xf numFmtId="181" fontId="60" fillId="11" borderId="38" xfId="11" applyNumberFormat="1" applyFont="1" applyFill="1" applyBorder="1"/>
    <xf numFmtId="0" fontId="60" fillId="11" borderId="0" xfId="14" applyFont="1" applyFill="1" applyAlignment="1">
      <alignment vertical="center"/>
    </xf>
    <xf numFmtId="181" fontId="60" fillId="11" borderId="0" xfId="11" applyNumberFormat="1" applyFont="1" applyFill="1" applyBorder="1"/>
    <xf numFmtId="43" fontId="4" fillId="11" borderId="0" xfId="13" applyNumberFormat="1" applyFill="1" applyAlignment="1">
      <alignment vertical="center"/>
    </xf>
    <xf numFmtId="0" fontId="4" fillId="11" borderId="0" xfId="14" applyFill="1" applyAlignment="1">
      <alignment horizontal="left" vertical="center" indent="1"/>
    </xf>
    <xf numFmtId="0" fontId="60" fillId="11" borderId="0" xfId="13" applyFont="1" applyFill="1" applyAlignment="1">
      <alignment vertical="center"/>
    </xf>
    <xf numFmtId="0" fontId="60" fillId="5" borderId="38" xfId="13" applyFont="1" applyFill="1" applyBorder="1" applyAlignment="1">
      <alignment vertical="center"/>
    </xf>
    <xf numFmtId="0" fontId="60" fillId="5" borderId="38" xfId="13" applyFont="1" applyFill="1" applyBorder="1" applyAlignment="1">
      <alignment horizontal="center" vertical="center"/>
    </xf>
    <xf numFmtId="0" fontId="60" fillId="17" borderId="0" xfId="14" applyFont="1" applyFill="1" applyAlignment="1">
      <alignment vertical="center"/>
    </xf>
    <xf numFmtId="10" fontId="60" fillId="17" borderId="0" xfId="3" applyNumberFormat="1" applyFont="1" applyFill="1" applyBorder="1" applyAlignment="1">
      <alignment vertical="center"/>
    </xf>
    <xf numFmtId="0" fontId="0" fillId="11" borderId="42" xfId="0" applyFill="1" applyBorder="1"/>
    <xf numFmtId="0" fontId="4" fillId="11" borderId="43" xfId="13" applyFill="1" applyBorder="1"/>
    <xf numFmtId="0" fontId="0" fillId="11" borderId="44" xfId="0" applyFill="1" applyBorder="1"/>
    <xf numFmtId="0" fontId="0" fillId="11" borderId="16" xfId="0" applyFill="1" applyBorder="1"/>
    <xf numFmtId="0" fontId="0" fillId="11" borderId="45" xfId="0" applyFill="1" applyBorder="1"/>
    <xf numFmtId="0" fontId="4" fillId="11" borderId="45" xfId="13" applyFill="1" applyBorder="1"/>
    <xf numFmtId="0" fontId="0" fillId="11" borderId="46" xfId="0" applyFill="1" applyBorder="1"/>
    <xf numFmtId="3" fontId="28" fillId="5" borderId="21" xfId="2" applyNumberFormat="1" applyFont="1" applyFill="1" applyBorder="1" applyAlignment="1">
      <alignment horizontal="right" vertical="center"/>
    </xf>
    <xf numFmtId="4" fontId="5" fillId="6" borderId="0" xfId="9" applyNumberFormat="1" applyFont="1" applyFill="1"/>
    <xf numFmtId="10" fontId="5" fillId="6" borderId="0" xfId="3" applyNumberFormat="1" applyFont="1" applyFill="1" applyAlignment="1">
      <alignment horizontal="center" vertical="center"/>
    </xf>
    <xf numFmtId="3" fontId="5" fillId="6" borderId="0" xfId="9" applyNumberFormat="1" applyFont="1" applyFill="1"/>
    <xf numFmtId="3" fontId="4" fillId="11" borderId="0" xfId="4" applyNumberFormat="1" applyFill="1" applyBorder="1" applyAlignment="1">
      <alignment vertical="center"/>
    </xf>
    <xf numFmtId="43" fontId="28" fillId="11" borderId="11" xfId="1" applyFont="1" applyFill="1" applyBorder="1"/>
    <xf numFmtId="43" fontId="28" fillId="5" borderId="21" xfId="1" applyFont="1" applyFill="1" applyBorder="1" applyAlignment="1">
      <alignment horizontal="right" vertical="center"/>
    </xf>
    <xf numFmtId="3" fontId="5" fillId="6" borderId="0" xfId="9" applyNumberFormat="1" applyFont="1" applyFill="1" applyAlignment="1">
      <alignment horizontal="center" vertical="center"/>
    </xf>
    <xf numFmtId="4" fontId="5" fillId="6" borderId="0" xfId="9" applyNumberFormat="1" applyFont="1" applyFill="1" applyAlignment="1">
      <alignment horizontal="center" vertical="center"/>
    </xf>
    <xf numFmtId="3" fontId="0" fillId="0" borderId="0" xfId="0" applyNumberFormat="1"/>
    <xf numFmtId="3" fontId="7" fillId="11" borderId="0" xfId="0" applyNumberFormat="1" applyFont="1" applyFill="1" applyAlignment="1">
      <alignment vertical="top"/>
    </xf>
    <xf numFmtId="177" fontId="5" fillId="6" borderId="0" xfId="9" applyNumberFormat="1" applyFont="1" applyFill="1" applyAlignment="1">
      <alignment horizontal="left"/>
    </xf>
    <xf numFmtId="43" fontId="5" fillId="6" borderId="0" xfId="1" applyFont="1" applyFill="1"/>
    <xf numFmtId="0" fontId="61" fillId="18" borderId="0" xfId="0" applyFont="1" applyFill="1" applyBorder="1"/>
    <xf numFmtId="0" fontId="13" fillId="18" borderId="0" xfId="0" applyFont="1" applyFill="1" applyBorder="1" applyAlignment="1">
      <alignment horizontal="center" vertical="center" wrapText="1"/>
    </xf>
    <xf numFmtId="10" fontId="62" fillId="18" borderId="0" xfId="0" applyNumberFormat="1" applyFont="1" applyFill="1" applyBorder="1" applyAlignment="1">
      <alignment vertical="center"/>
    </xf>
    <xf numFmtId="10" fontId="62" fillId="18" borderId="0" xfId="3" applyNumberFormat="1" applyFont="1" applyFill="1" applyBorder="1" applyAlignment="1">
      <alignment horizontal="center" vertical="center"/>
    </xf>
    <xf numFmtId="9" fontId="0" fillId="0" borderId="0" xfId="3" applyFont="1"/>
    <xf numFmtId="9" fontId="0" fillId="0" borderId="0" xfId="0" applyNumberFormat="1"/>
    <xf numFmtId="10" fontId="11" fillId="2" borderId="1" xfId="3" applyNumberFormat="1" applyFont="1" applyFill="1" applyBorder="1" applyAlignment="1">
      <alignment horizontal="center" vertical="center"/>
    </xf>
    <xf numFmtId="43" fontId="21" fillId="5" borderId="11" xfId="1" applyFont="1" applyFill="1" applyBorder="1" applyAlignment="1">
      <alignment horizontal="center"/>
    </xf>
    <xf numFmtId="43" fontId="4" fillId="11" borderId="11" xfId="1" applyFont="1" applyFill="1" applyBorder="1" applyAlignment="1">
      <alignment vertical="center"/>
    </xf>
    <xf numFmtId="3" fontId="55" fillId="22" borderId="11" xfId="4" applyNumberFormat="1" applyFont="1" applyFill="1" applyBorder="1" applyAlignment="1">
      <alignment horizontal="center" vertical="center" wrapText="1"/>
    </xf>
    <xf numFmtId="0" fontId="4" fillId="0" borderId="0" xfId="13"/>
    <xf numFmtId="0" fontId="4" fillId="0" borderId="0" xfId="13" applyAlignment="1">
      <alignment vertical="center"/>
    </xf>
    <xf numFmtId="0" fontId="64" fillId="0" borderId="0" xfId="0" applyFont="1" applyAlignment="1">
      <alignment horizontal="center" vertical="center"/>
    </xf>
    <xf numFmtId="17" fontId="4" fillId="11" borderId="0" xfId="0" applyNumberFormat="1" applyFont="1" applyFill="1" applyAlignment="1">
      <alignment horizontal="center" vertical="center"/>
    </xf>
    <xf numFmtId="167" fontId="4" fillId="11" borderId="0" xfId="1" applyNumberFormat="1" applyFont="1" applyFill="1" applyBorder="1" applyAlignment="1">
      <alignment horizontal="center" vertical="center"/>
    </xf>
    <xf numFmtId="10" fontId="4" fillId="11" borderId="0" xfId="3" applyNumberFormat="1" applyFont="1" applyFill="1" applyBorder="1" applyAlignment="1">
      <alignment horizontal="center"/>
    </xf>
    <xf numFmtId="167" fontId="4" fillId="11" borderId="0" xfId="1" applyNumberFormat="1" applyFont="1" applyFill="1" applyBorder="1" applyAlignment="1">
      <alignment vertical="center"/>
    </xf>
    <xf numFmtId="10" fontId="4" fillId="11" borderId="0" xfId="3" applyNumberFormat="1" applyFont="1" applyFill="1" applyBorder="1" applyAlignment="1">
      <alignment horizontal="center" vertical="center"/>
    </xf>
    <xf numFmtId="0" fontId="60" fillId="11" borderId="0" xfId="0" applyFont="1" applyFill="1" applyAlignment="1">
      <alignment vertical="center"/>
    </xf>
    <xf numFmtId="17" fontId="4" fillId="11" borderId="0" xfId="0" applyNumberFormat="1" applyFont="1" applyFill="1" applyAlignment="1">
      <alignment vertical="center"/>
    </xf>
    <xf numFmtId="167" fontId="4" fillId="11" borderId="0" xfId="0" applyNumberFormat="1" applyFont="1" applyFill="1" applyAlignment="1">
      <alignment horizontal="center" vertical="center"/>
    </xf>
    <xf numFmtId="17" fontId="4" fillId="11" borderId="27" xfId="0" applyNumberFormat="1" applyFont="1" applyFill="1" applyBorder="1" applyAlignment="1">
      <alignment horizontal="center" vertical="center"/>
    </xf>
    <xf numFmtId="167" fontId="4" fillId="11" borderId="27" xfId="1" applyNumberFormat="1" applyFont="1" applyFill="1" applyBorder="1" applyAlignment="1">
      <alignment horizontal="center" vertical="center"/>
    </xf>
    <xf numFmtId="181" fontId="4" fillId="11" borderId="27" xfId="11" applyNumberFormat="1" applyFont="1" applyFill="1" applyBorder="1"/>
    <xf numFmtId="167" fontId="4" fillId="11" borderId="0" xfId="11" applyNumberFormat="1" applyFont="1" applyFill="1" applyBorder="1"/>
    <xf numFmtId="43" fontId="4" fillId="11" borderId="0" xfId="11" applyNumberFormat="1" applyFont="1" applyFill="1" applyBorder="1"/>
    <xf numFmtId="43" fontId="4" fillId="11" borderId="0" xfId="1" applyFont="1" applyFill="1" applyBorder="1" applyAlignment="1">
      <alignment horizontal="center" vertical="center"/>
    </xf>
    <xf numFmtId="167" fontId="4" fillId="11" borderId="0" xfId="1" applyNumberFormat="1" applyFont="1" applyFill="1" applyBorder="1" applyAlignment="1" applyProtection="1">
      <alignment horizontal="center" vertical="center"/>
      <protection locked="0"/>
    </xf>
    <xf numFmtId="167" fontId="4" fillId="11" borderId="47" xfId="13" applyNumberFormat="1" applyFill="1" applyBorder="1" applyAlignment="1">
      <alignment vertical="center"/>
    </xf>
    <xf numFmtId="167" fontId="4" fillId="11" borderId="0" xfId="13" applyNumberFormat="1" applyFill="1" applyAlignment="1">
      <alignment vertical="center"/>
    </xf>
    <xf numFmtId="43" fontId="4" fillId="11" borderId="47" xfId="1" applyFont="1" applyFill="1" applyBorder="1" applyAlignment="1">
      <alignment vertical="center"/>
    </xf>
    <xf numFmtId="3" fontId="4" fillId="22" borderId="0" xfId="17" applyNumberFormat="1" applyFill="1" applyAlignment="1">
      <alignment vertical="center"/>
    </xf>
    <xf numFmtId="0" fontId="65" fillId="11" borderId="0" xfId="13" applyFont="1" applyFill="1" applyAlignment="1">
      <alignment vertical="center"/>
    </xf>
    <xf numFmtId="0" fontId="63" fillId="11" borderId="0" xfId="13" applyFont="1" applyFill="1" applyAlignment="1">
      <alignment vertical="center"/>
    </xf>
    <xf numFmtId="9" fontId="0" fillId="0" borderId="0" xfId="3" applyNumberFormat="1" applyFont="1"/>
    <xf numFmtId="10" fontId="4" fillId="11" borderId="0" xfId="3" applyNumberFormat="1" applyFont="1" applyFill="1" applyBorder="1" applyAlignment="1">
      <alignment vertical="center"/>
    </xf>
    <xf numFmtId="3" fontId="55" fillId="11" borderId="0" xfId="4" applyNumberFormat="1" applyFont="1" applyFill="1" applyBorder="1" applyAlignment="1">
      <alignment horizontal="center" vertical="center" wrapText="1"/>
    </xf>
    <xf numFmtId="0" fontId="0" fillId="0" borderId="0" xfId="0" applyAlignment="1"/>
    <xf numFmtId="3" fontId="4" fillId="11" borderId="11" xfId="4" applyNumberFormat="1" applyFill="1" applyBorder="1" applyAlignment="1">
      <alignment horizontal="center" vertical="center"/>
    </xf>
    <xf numFmtId="10" fontId="4" fillId="11" borderId="11" xfId="3" applyNumberFormat="1" applyFont="1" applyFill="1" applyBorder="1" applyAlignment="1">
      <alignment horizontal="center" vertical="center"/>
    </xf>
    <xf numFmtId="43" fontId="5" fillId="6" borderId="0" xfId="9" applyNumberFormat="1" applyFont="1" applyFill="1"/>
    <xf numFmtId="43" fontId="7" fillId="4" borderId="4" xfId="1" applyFont="1" applyFill="1" applyBorder="1" applyAlignment="1" applyProtection="1">
      <alignment horizontal="right"/>
      <protection locked="0"/>
    </xf>
    <xf numFmtId="43" fontId="7" fillId="4" borderId="1" xfId="1" applyFont="1" applyFill="1" applyBorder="1" applyAlignment="1" applyProtection="1">
      <alignment horizontal="right"/>
      <protection locked="0"/>
    </xf>
    <xf numFmtId="0" fontId="13" fillId="11" borderId="0" xfId="0" applyFont="1" applyFill="1" applyBorder="1" applyAlignment="1">
      <alignment horizontal="center" vertical="center" wrapText="1"/>
    </xf>
    <xf numFmtId="10" fontId="66" fillId="11" borderId="0" xfId="3" applyNumberFormat="1" applyFont="1" applyFill="1" applyBorder="1" applyAlignment="1">
      <alignment vertical="center"/>
    </xf>
    <xf numFmtId="10" fontId="66" fillId="11" borderId="0" xfId="0" applyNumberFormat="1" applyFont="1" applyFill="1" applyBorder="1" applyAlignment="1">
      <alignment horizontal="center" vertical="center"/>
    </xf>
    <xf numFmtId="0" fontId="9" fillId="11" borderId="0" xfId="0" applyFont="1" applyFill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49" fillId="2" borderId="28" xfId="0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9" fillId="2" borderId="3" xfId="0" applyFont="1" applyFill="1" applyBorder="1" applyAlignment="1"/>
    <xf numFmtId="0" fontId="50" fillId="0" borderId="0" xfId="0" applyFont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" fontId="7" fillId="5" borderId="5" xfId="2" applyNumberFormat="1" applyFont="1" applyFill="1" applyBorder="1" applyAlignment="1">
      <alignment horizontal="center"/>
    </xf>
    <xf numFmtId="3" fontId="7" fillId="5" borderId="4" xfId="2" applyNumberFormat="1" applyFont="1" applyFill="1" applyBorder="1" applyAlignment="1">
      <alignment horizontal="center"/>
    </xf>
    <xf numFmtId="3" fontId="5" fillId="0" borderId="5" xfId="2" applyNumberFormat="1" applyFont="1" applyBorder="1" applyAlignment="1">
      <alignment horizontal="center"/>
    </xf>
    <xf numFmtId="3" fontId="5" fillId="0" borderId="4" xfId="2" applyNumberFormat="1" applyFont="1" applyBorder="1" applyAlignment="1">
      <alignment horizontal="center"/>
    </xf>
    <xf numFmtId="3" fontId="11" fillId="2" borderId="5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3" fontId="29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2" fillId="13" borderId="45" xfId="0" applyFont="1" applyFill="1" applyBorder="1" applyAlignment="1">
      <alignment horizontal="center"/>
    </xf>
    <xf numFmtId="43" fontId="1" fillId="3" borderId="12" xfId="1" applyFill="1" applyBorder="1" applyAlignment="1">
      <alignment horizontal="center" vertical="center"/>
    </xf>
    <xf numFmtId="43" fontId="1" fillId="3" borderId="13" xfId="1" applyFill="1" applyBorder="1" applyAlignment="1">
      <alignment horizontal="center" vertical="center"/>
    </xf>
    <xf numFmtId="43" fontId="1" fillId="3" borderId="16" xfId="1" applyFill="1" applyBorder="1" applyAlignment="1">
      <alignment horizontal="center" vertical="center"/>
    </xf>
    <xf numFmtId="43" fontId="1" fillId="3" borderId="46" xfId="1" applyFill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15" borderId="7" xfId="0" applyNumberFormat="1" applyFill="1" applyBorder="1" applyAlignment="1">
      <alignment horizontal="center"/>
    </xf>
    <xf numFmtId="3" fontId="0" fillId="15" borderId="10" xfId="0" applyNumberFormat="1" applyFill="1" applyBorder="1" applyAlignment="1">
      <alignment horizontal="center"/>
    </xf>
    <xf numFmtId="3" fontId="0" fillId="14" borderId="7" xfId="0" applyNumberFormat="1" applyFill="1" applyBorder="1" applyAlignment="1">
      <alignment horizontal="center"/>
    </xf>
    <xf numFmtId="3" fontId="0" fillId="14" borderId="10" xfId="0" applyNumberForma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55" fillId="21" borderId="6" xfId="4" applyNumberFormat="1" applyFont="1" applyFill="1" applyBorder="1" applyAlignment="1">
      <alignment horizontal="center" vertical="center" wrapText="1"/>
    </xf>
    <xf numFmtId="3" fontId="55" fillId="21" borderId="8" xfId="4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2" fillId="13" borderId="7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4" fillId="11" borderId="47" xfId="13" applyFill="1" applyBorder="1" applyAlignment="1">
      <alignment horizontal="center" vertical="center"/>
    </xf>
    <xf numFmtId="0" fontId="60" fillId="11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" fontId="4" fillId="11" borderId="0" xfId="0" applyNumberFormat="1" applyFont="1" applyFill="1" applyAlignment="1">
      <alignment horizontal="center" vertical="center" wrapText="1"/>
    </xf>
    <xf numFmtId="17" fontId="4" fillId="11" borderId="45" xfId="0" applyNumberFormat="1" applyFont="1" applyFill="1" applyBorder="1" applyAlignment="1">
      <alignment horizontal="center" vertical="center" wrapText="1"/>
    </xf>
    <xf numFmtId="167" fontId="4" fillId="11" borderId="0" xfId="1" applyNumberFormat="1" applyFont="1" applyFill="1" applyBorder="1" applyAlignment="1">
      <alignment horizontal="center" vertical="center"/>
    </xf>
    <xf numFmtId="167" fontId="4" fillId="11" borderId="45" xfId="1" applyNumberFormat="1" applyFont="1" applyFill="1" applyBorder="1" applyAlignment="1">
      <alignment horizontal="center" vertical="center"/>
    </xf>
    <xf numFmtId="17" fontId="4" fillId="11" borderId="36" xfId="0" applyNumberFormat="1" applyFont="1" applyFill="1" applyBorder="1" applyAlignment="1">
      <alignment horizontal="center" vertical="center" wrapText="1"/>
    </xf>
    <xf numFmtId="167" fontId="4" fillId="11" borderId="36" xfId="1" applyNumberFormat="1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17" fontId="4" fillId="11" borderId="0" xfId="0" applyNumberFormat="1" applyFont="1" applyFill="1" applyAlignment="1">
      <alignment horizontal="center" vertical="center"/>
    </xf>
    <xf numFmtId="167" fontId="4" fillId="11" borderId="36" xfId="0" applyNumberFormat="1" applyFont="1" applyFill="1" applyBorder="1" applyAlignment="1">
      <alignment horizontal="center" vertical="center"/>
    </xf>
    <xf numFmtId="167" fontId="4" fillId="11" borderId="0" xfId="0" applyNumberFormat="1" applyFont="1" applyFill="1" applyAlignment="1">
      <alignment horizontal="center" vertical="center"/>
    </xf>
    <xf numFmtId="49" fontId="28" fillId="11" borderId="23" xfId="2" applyNumberFormat="1" applyFont="1" applyFill="1" applyBorder="1" applyAlignment="1">
      <alignment horizontal="left"/>
    </xf>
    <xf numFmtId="49" fontId="28" fillId="11" borderId="24" xfId="2" applyNumberFormat="1" applyFont="1" applyFill="1" applyBorder="1" applyAlignment="1">
      <alignment horizontal="left"/>
    </xf>
    <xf numFmtId="49" fontId="28" fillId="11" borderId="25" xfId="2" applyNumberFormat="1" applyFont="1" applyFill="1" applyBorder="1" applyAlignment="1">
      <alignment horizontal="left"/>
    </xf>
    <xf numFmtId="0" fontId="9" fillId="6" borderId="0" xfId="9" applyFont="1" applyFill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60" fillId="5" borderId="36" xfId="13" applyFont="1" applyFill="1" applyBorder="1" applyAlignment="1">
      <alignment horizontal="center" vertical="center"/>
    </xf>
  </cellXfs>
  <cellStyles count="18">
    <cellStyle name="Comma 2 2" xfId="11" xr:uid="{00000000-0005-0000-0000-000000000000}"/>
    <cellStyle name="Moeda" xfId="2" builtinId="4"/>
    <cellStyle name="Moeda 2" xfId="8" xr:uid="{00000000-0005-0000-0000-000003000000}"/>
    <cellStyle name="Moeda 3" xfId="12" xr:uid="{00000000-0005-0000-0000-000004000000}"/>
    <cellStyle name="Normal" xfId="0" builtinId="0"/>
    <cellStyle name="Normal - Style1 2 2" xfId="10" xr:uid="{00000000-0005-0000-0000-000006000000}"/>
    <cellStyle name="Normal 12" xfId="13" xr:uid="{00000000-0005-0000-0000-000007000000}"/>
    <cellStyle name="Normal 2" xfId="9" xr:uid="{00000000-0005-0000-0000-000008000000}"/>
    <cellStyle name="Normal 2 2" xfId="14" xr:uid="{00000000-0005-0000-0000-000009000000}"/>
    <cellStyle name="Normal 4" xfId="4" xr:uid="{00000000-0005-0000-0000-00000A000000}"/>
    <cellStyle name="Normal 4 2" xfId="17" xr:uid="{33CCF34B-6E45-461F-9C81-66D8EF568FB1}"/>
    <cellStyle name="Normal 5" xfId="5" xr:uid="{00000000-0005-0000-0000-00000B000000}"/>
    <cellStyle name="Porcentagem" xfId="3" builtinId="5"/>
    <cellStyle name="Porcentagem 2" xfId="7" xr:uid="{00000000-0005-0000-0000-00000D000000}"/>
    <cellStyle name="Separador de milhares 3" xfId="6" xr:uid="{00000000-0005-0000-0000-00000E000000}"/>
    <cellStyle name="Separador de milhares 3 2" xfId="16" xr:uid="{00000000-0005-0000-0000-00000F000000}"/>
    <cellStyle name="Vírgula" xfId="1" builtinId="3"/>
    <cellStyle name="Vírgula 2" xfId="15" xr:uid="{00000000-0005-0000-0000-00001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Variação dos indicadores inflacionários                                       (janeiro a dezembro de 2020 - em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Indices_2021!$B$7</c:f>
              <c:strCache>
                <c:ptCount val="1"/>
                <c:pt idx="0">
                  <c:v>Índices Econômicos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(Indices_2021!$C$8:$E$8,Indices_2021!$G$32)</c:f>
              <c:strCache>
                <c:ptCount val="4"/>
                <c:pt idx="0">
                  <c:v>INPC</c:v>
                </c:pt>
                <c:pt idx="1">
                  <c:v>IPCA</c:v>
                </c:pt>
                <c:pt idx="2">
                  <c:v>IGP-M</c:v>
                </c:pt>
                <c:pt idx="3">
                  <c:v>Δenergia</c:v>
                </c:pt>
              </c:strCache>
            </c:strRef>
          </c:cat>
          <c:val>
            <c:numRef>
              <c:f>(Indices_2021!$C$22:$E$22,Indices_2021!$J$32)</c:f>
              <c:numCache>
                <c:formatCode>0.00%</c:formatCode>
                <c:ptCount val="4"/>
                <c:pt idx="0">
                  <c:v>5.4473158845030234E-2</c:v>
                </c:pt>
                <c:pt idx="1">
                  <c:v>4.517456886424509E-2</c:v>
                </c:pt>
                <c:pt idx="2">
                  <c:v>0.23138351126052559</c:v>
                </c:pt>
                <c:pt idx="3">
                  <c:v>-0.11124890872757309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5-41F0-88D2-D3075AF4D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1599887"/>
        <c:axId val="1242784383"/>
      </c:barChart>
      <c:catAx>
        <c:axId val="125159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42784383"/>
        <c:crosses val="autoZero"/>
        <c:auto val="1"/>
        <c:lblAlgn val="ctr"/>
        <c:lblOffset val="100"/>
        <c:noMultiLvlLbl val="0"/>
      </c:catAx>
      <c:valAx>
        <c:axId val="1242784383"/>
        <c:scaling>
          <c:orientation val="minMax"/>
          <c:max val="0.25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1599887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/>
              <a:t>Quadro Resumo - Bônus-Desconto 2020</a:t>
            </a:r>
          </a:p>
        </c:rich>
      </c:tx>
      <c:layout>
        <c:manualLayout>
          <c:xMode val="edge"/>
          <c:yMode val="edge"/>
          <c:x val="0.26455829818750665"/>
          <c:y val="2.1213164149437122E-2"/>
        </c:manualLayout>
      </c:layout>
      <c:overlay val="0"/>
    </c:title>
    <c:autoTitleDeleted val="0"/>
    <c:view3D>
      <c:rotX val="30"/>
      <c:rotY val="2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910738644903235E-2"/>
          <c:y val="0.23256146776114595"/>
          <c:w val="0.59579829403206863"/>
          <c:h val="0.63733555653547946"/>
        </c:manualLayout>
      </c:layout>
      <c:pie3DChart>
        <c:varyColors val="1"/>
        <c:ser>
          <c:idx val="0"/>
          <c:order val="0"/>
          <c:tx>
            <c:strRef>
              <c:f>'Bonus Desconto'!$J$6:$N$6</c:f>
              <c:strCache>
                <c:ptCount val="5"/>
                <c:pt idx="0">
                  <c:v>Quadro Resumo - Bônus-Desconto</c:v>
                </c:pt>
              </c:strCache>
            </c:strRef>
          </c:tx>
          <c:explosion val="16"/>
          <c:dPt>
            <c:idx val="0"/>
            <c:bubble3D val="0"/>
            <c:explosion val="10"/>
            <c:extLst>
              <c:ext xmlns:c16="http://schemas.microsoft.com/office/drawing/2014/chart" uri="{C3380CC4-5D6E-409C-BE32-E72D297353CC}">
                <c16:uniqueId val="{00000001-0EC1-4BB5-9E05-552DDBB138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'Bonus Desconto'!$K$7:$N$7</c:f>
              <c:strCache>
                <c:ptCount val="4"/>
                <c:pt idx="0">
                  <c:v>Residencial Normal</c:v>
                </c:pt>
                <c:pt idx="1">
                  <c:v>Residencial Popular</c:v>
                </c:pt>
                <c:pt idx="2">
                  <c:v>Comercial</c:v>
                </c:pt>
                <c:pt idx="3">
                  <c:v>Industrial</c:v>
                </c:pt>
              </c:strCache>
            </c:strRef>
          </c:cat>
          <c:val>
            <c:numRef>
              <c:f>'Bonus Desconto'!$K$12:$N$12</c:f>
              <c:numCache>
                <c:formatCode>_(* #,##0.00_);_(* \(#,##0.00\);_(* "-"??_);_(@_)</c:formatCode>
                <c:ptCount val="4"/>
                <c:pt idx="0">
                  <c:v>7637749.2880000006</c:v>
                </c:pt>
                <c:pt idx="1">
                  <c:v>46775.272000000004</c:v>
                </c:pt>
                <c:pt idx="2">
                  <c:v>3977980.7440000004</c:v>
                </c:pt>
                <c:pt idx="3">
                  <c:v>178021.932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C1-4BB5-9E05-552DDBB13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257274569558962"/>
          <c:y val="0.14583658806574906"/>
          <c:w val="0.22992234271305478"/>
          <c:h val="0.21754422606988449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Variação dos indicadores inflacionários                                       (janeiro a dezembro de 2020 - em %)</a:t>
            </a:r>
          </a:p>
        </c:rich>
      </c:tx>
      <c:layout>
        <c:manualLayout>
          <c:xMode val="edge"/>
          <c:yMode val="edge"/>
          <c:x val="0.19761587301643796"/>
          <c:y val="2.83782156973429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Indices_2021!$B$7</c:f>
              <c:strCache>
                <c:ptCount val="1"/>
                <c:pt idx="0">
                  <c:v>Índices Econômicos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(Indices_2021!$C$8:$E$8,Indices_2021!$G$32)</c:f>
              <c:strCache>
                <c:ptCount val="4"/>
                <c:pt idx="0">
                  <c:v>INPC</c:v>
                </c:pt>
                <c:pt idx="1">
                  <c:v>IPCA</c:v>
                </c:pt>
                <c:pt idx="2">
                  <c:v>IGP-M</c:v>
                </c:pt>
                <c:pt idx="3">
                  <c:v>Δenergia</c:v>
                </c:pt>
              </c:strCache>
            </c:strRef>
          </c:cat>
          <c:val>
            <c:numRef>
              <c:f>(Indices_2021!$C$22:$E$22,Indices_2021!$J$32)</c:f>
              <c:numCache>
                <c:formatCode>0.00%</c:formatCode>
                <c:ptCount val="4"/>
                <c:pt idx="0">
                  <c:v>5.4473158845030234E-2</c:v>
                </c:pt>
                <c:pt idx="1">
                  <c:v>4.517456886424509E-2</c:v>
                </c:pt>
                <c:pt idx="2">
                  <c:v>0.23138351126052559</c:v>
                </c:pt>
                <c:pt idx="3">
                  <c:v>-0.11124890872757309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C-4CDF-98B7-6362214E5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1599887"/>
        <c:axId val="1242784383"/>
      </c:barChart>
      <c:catAx>
        <c:axId val="125159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42784383"/>
        <c:crosses val="autoZero"/>
        <c:auto val="1"/>
        <c:lblAlgn val="ctr"/>
        <c:lblOffset val="100"/>
        <c:noMultiLvlLbl val="0"/>
      </c:catAx>
      <c:valAx>
        <c:axId val="1242784383"/>
        <c:scaling>
          <c:orientation val="minMax"/>
          <c:max val="0.25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1599887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Proporção dos custos da Parcela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601-47BF-9C33-D03C5D6908BC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51C-469C-8441-736B8F4DD2F3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C51C-469C-8441-736B8F4DD2F3}"/>
              </c:ext>
            </c:extLst>
          </c:dPt>
          <c:dPt>
            <c:idx val="3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51C-469C-8441-736B8F4DD2F3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C51C-469C-8441-736B8F4DD2F3}"/>
              </c:ext>
            </c:extLst>
          </c:dPt>
          <c:dLbls>
            <c:dLbl>
              <c:idx val="1"/>
              <c:layout>
                <c:manualLayout>
                  <c:x val="-6.7219004404110508E-2"/>
                  <c:y val="-0.1721976648975378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1C-469C-8441-736B8F4DD2F3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'VPB 2021'!$B$9:$B$13</c:f>
              <c:strCache>
                <c:ptCount val="5"/>
                <c:pt idx="0">
                  <c:v>Pessoal</c:v>
                </c:pt>
                <c:pt idx="1">
                  <c:v>Energia Elétrica</c:v>
                </c:pt>
                <c:pt idx="2">
                  <c:v>Material </c:v>
                </c:pt>
                <c:pt idx="3">
                  <c:v>Remuneração dos Investimentos</c:v>
                </c:pt>
                <c:pt idx="4">
                  <c:v>Outros Custos</c:v>
                </c:pt>
              </c:strCache>
            </c:strRef>
          </c:cat>
          <c:val>
            <c:numRef>
              <c:f>'VPB 2021'!$D$9:$D$13</c:f>
              <c:numCache>
                <c:formatCode>#,##0</c:formatCode>
                <c:ptCount val="5"/>
                <c:pt idx="0">
                  <c:v>515403108.97827083</c:v>
                </c:pt>
                <c:pt idx="1">
                  <c:v>135923148.23295999</c:v>
                </c:pt>
                <c:pt idx="2">
                  <c:v>73053331.884937555</c:v>
                </c:pt>
                <c:pt idx="3">
                  <c:v>419369708.61725491</c:v>
                </c:pt>
                <c:pt idx="4">
                  <c:v>281380973.02853155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C-469C-8441-736B8F4DD2F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Variação dos indicadores inflacionários                                       (janeiro a dezembro de 2020 - em %)</a:t>
            </a:r>
          </a:p>
        </c:rich>
      </c:tx>
      <c:layout>
        <c:manualLayout>
          <c:xMode val="edge"/>
          <c:yMode val="edge"/>
          <c:x val="0.24281360508677341"/>
          <c:y val="2.18653872641292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Proporção de custo</c:v>
          </c:tx>
          <c:invertIfNegative val="0"/>
          <c:dLbls>
            <c:dLbl>
              <c:idx val="0"/>
              <c:layout>
                <c:manualLayout>
                  <c:x val="0"/>
                  <c:y val="-1.7619199433521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AD-4DF2-8570-99A1B6D0F392}"/>
                </c:ext>
              </c:extLst>
            </c:dLbl>
            <c:dLbl>
              <c:idx val="1"/>
              <c:layout>
                <c:manualLayout>
                  <c:x val="1.1299433017583875E-2"/>
                  <c:y val="-1.057151966011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AD-4DF2-8570-99A1B6D0F392}"/>
                </c:ext>
              </c:extLst>
            </c:dLbl>
            <c:dLbl>
              <c:idx val="3"/>
              <c:layout>
                <c:manualLayout>
                  <c:x val="-9.0395464140672656E-3"/>
                  <c:y val="-7.6003954469768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AD-4DF2-8570-99A1B6D0F39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'VPB 2021'!$E$11:$E$12</c:f>
              <c:numCache>
                <c:formatCode>0.00%</c:formatCode>
                <c:ptCount val="2"/>
                <c:pt idx="0">
                  <c:v>5.1260809895578421E-2</c:v>
                </c:pt>
                <c:pt idx="1">
                  <c:v>0.29426763098570746</c:v>
                </c:pt>
              </c:numCache>
            </c:numRef>
          </c:cat>
          <c:val>
            <c:numRef>
              <c:f>('VPB 2021'!$E$9,'VPB 2021'!$E$13,'VPB 2021'!$E$16,'VPB 2021'!$E$10)</c:f>
              <c:numCache>
                <c:formatCode>0.00%</c:formatCode>
                <c:ptCount val="4"/>
                <c:pt idx="0">
                  <c:v>0.36165333061793742</c:v>
                </c:pt>
                <c:pt idx="1">
                  <c:v>0.19744228215855544</c:v>
                </c:pt>
                <c:pt idx="2">
                  <c:v>0.34552844088128587</c:v>
                </c:pt>
                <c:pt idx="3">
                  <c:v>9.5375946342221296E-2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D-4DF2-8570-99A1B6D0F392}"/>
            </c:ext>
          </c:extLst>
        </c:ser>
        <c:ser>
          <c:idx val="1"/>
          <c:order val="1"/>
          <c:tx>
            <c:strRef>
              <c:f>Indices_2021!$B$7</c:f>
              <c:strCache>
                <c:ptCount val="1"/>
                <c:pt idx="0">
                  <c:v>Índices Econômicos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2994330175838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AD-4DF2-8570-99A1B6D0F392}"/>
                </c:ext>
              </c:extLst>
            </c:dLbl>
            <c:dLbl>
              <c:idx val="1"/>
              <c:layout>
                <c:manualLayout>
                  <c:x val="1.355931962110065E-2"/>
                  <c:y val="-7.0476797734087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AD-4DF2-8570-99A1B6D0F392}"/>
                </c:ext>
              </c:extLst>
            </c:dLbl>
            <c:dLbl>
              <c:idx val="2"/>
              <c:layout>
                <c:manualLayout>
                  <c:x val="2.2598866035167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AD-4DF2-8570-99A1B6D0F39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'VPB 2021'!$E$11:$E$12</c:f>
              <c:numCache>
                <c:formatCode>0.00%</c:formatCode>
                <c:ptCount val="2"/>
                <c:pt idx="0">
                  <c:v>5.1260809895578421E-2</c:v>
                </c:pt>
                <c:pt idx="1">
                  <c:v>0.29426763098570746</c:v>
                </c:pt>
              </c:numCache>
            </c:numRef>
          </c:cat>
          <c:val>
            <c:numRef>
              <c:f>(Indices_2021!$C$22:$E$22,Indices_2021!$J$32)</c:f>
              <c:numCache>
                <c:formatCode>0.00%</c:formatCode>
                <c:ptCount val="4"/>
                <c:pt idx="0">
                  <c:v>5.4473158845030234E-2</c:v>
                </c:pt>
                <c:pt idx="1">
                  <c:v>4.517456886424509E-2</c:v>
                </c:pt>
                <c:pt idx="2">
                  <c:v>0.23138351126052559</c:v>
                </c:pt>
                <c:pt idx="3">
                  <c:v>-0.11124890872757309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AD-4DF2-8570-99A1B6D0F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51599887"/>
        <c:axId val="1242784383"/>
      </c:barChart>
      <c:catAx>
        <c:axId val="1251599887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42784383"/>
        <c:crosses val="autoZero"/>
        <c:auto val="1"/>
        <c:lblAlgn val="ctr"/>
        <c:lblOffset val="100"/>
        <c:noMultiLvlLbl val="0"/>
      </c:catAx>
      <c:valAx>
        <c:axId val="1242784383"/>
        <c:scaling>
          <c:orientation val="minMax"/>
          <c:max val="0.4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1599887"/>
        <c:crosses val="autoZero"/>
        <c:crossBetween val="between"/>
        <c:majorUnit val="4.0000000000000008E-2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gif"/><Relationship Id="rId2" Type="http://schemas.openxmlformats.org/officeDocument/2006/relationships/chart" Target="../charts/chart1.xml"/><Relationship Id="rId1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9.jpeg"/><Relationship Id="rId4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3357562</xdr:colOff>
      <xdr:row>5</xdr:row>
      <xdr:rowOff>95249</xdr:rowOff>
    </xdr:from>
    <xdr:to>
      <xdr:col>4</xdr:col>
      <xdr:colOff>757237</xdr:colOff>
      <xdr:row>8</xdr:row>
      <xdr:rowOff>88105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85EDCB9-45C4-49A2-B8AD-90BD766C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238249"/>
          <a:ext cx="2924175" cy="564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119061</xdr:colOff>
      <xdr:row>11</xdr:row>
      <xdr:rowOff>47625</xdr:rowOff>
    </xdr:from>
    <xdr:to>
      <xdr:col>1</xdr:col>
      <xdr:colOff>2014536</xdr:colOff>
      <xdr:row>15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3D62E8A-5190-4223-BF1A-8E651525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4" y="2333625"/>
          <a:ext cx="18954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95249</xdr:colOff>
      <xdr:row>17</xdr:row>
      <xdr:rowOff>119062</xdr:rowOff>
    </xdr:from>
    <xdr:to>
      <xdr:col>1</xdr:col>
      <xdr:colOff>2105024</xdr:colOff>
      <xdr:row>19</xdr:row>
      <xdr:rowOff>116680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1739696-34BD-4B28-BBA7-18921327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" y="3548062"/>
          <a:ext cx="2009775" cy="378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2524125</xdr:colOff>
      <xdr:row>17</xdr:row>
      <xdr:rowOff>119062</xdr:rowOff>
    </xdr:from>
    <xdr:to>
      <xdr:col>6</xdr:col>
      <xdr:colOff>373056</xdr:colOff>
      <xdr:row>20</xdr:row>
      <xdr:rowOff>61848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A567B51-8F8F-4F15-B437-7E029EBC3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33688" y="3548062"/>
          <a:ext cx="6409524" cy="5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2547936</xdr:colOff>
      <xdr:row>12</xdr:row>
      <xdr:rowOff>23813</xdr:rowOff>
    </xdr:from>
    <xdr:to>
      <xdr:col>6</xdr:col>
      <xdr:colOff>396867</xdr:colOff>
      <xdr:row>14</xdr:row>
      <xdr:rowOff>90432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88DCC092-6DE9-40F4-9EB9-38518EFE0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499" y="2500313"/>
          <a:ext cx="6409524" cy="4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107157</xdr:colOff>
      <xdr:row>22</xdr:row>
      <xdr:rowOff>151868</xdr:rowOff>
    </xdr:from>
    <xdr:to>
      <xdr:col>1</xdr:col>
      <xdr:colOff>1190624</xdr:colOff>
      <xdr:row>26</xdr:row>
      <xdr:rowOff>152309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117B2D76-1B71-4D65-938A-AA4EE4727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6720" y="4533368"/>
          <a:ext cx="1083467" cy="762441"/>
        </a:xfrm>
        <a:prstGeom prst="rect">
          <a:avLst/>
        </a:prstGeom>
      </xdr:spPr>
    </xdr:pic>
    <xdr:clientData/>
  </xdr:twoCellAnchor>
  <xdr:twoCellAnchor editAs="oneCell">
    <xdr:from>
      <xdr:col>1</xdr:col>
      <xdr:colOff>2393155</xdr:colOff>
      <xdr:row>22</xdr:row>
      <xdr:rowOff>83342</xdr:rowOff>
    </xdr:from>
    <xdr:to>
      <xdr:col>4</xdr:col>
      <xdr:colOff>430560</xdr:colOff>
      <xdr:row>26</xdr:row>
      <xdr:rowOff>92771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A972418F-84E4-461A-9574-63DF7B560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702718" y="4464842"/>
          <a:ext cx="3561905" cy="771429"/>
        </a:xfrm>
        <a:prstGeom prst="rect">
          <a:avLst/>
        </a:prstGeom>
      </xdr:spPr>
    </xdr:pic>
    <xdr:clientData/>
  </xdr:twoCellAnchor>
  <xdr:twoCellAnchor editAs="oneCell">
    <xdr:from>
      <xdr:col>4</xdr:col>
      <xdr:colOff>988218</xdr:colOff>
      <xdr:row>21</xdr:row>
      <xdr:rowOff>0</xdr:rowOff>
    </xdr:from>
    <xdr:to>
      <xdr:col>11</xdr:col>
      <xdr:colOff>446869</xdr:colOff>
      <xdr:row>30</xdr:row>
      <xdr:rowOff>56929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0ABE09E-2BC5-4C45-905F-00149D05B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22281" y="4191000"/>
          <a:ext cx="6447619" cy="1771429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1</xdr:row>
      <xdr:rowOff>107156</xdr:rowOff>
    </xdr:from>
    <xdr:to>
      <xdr:col>1</xdr:col>
      <xdr:colOff>2081213</xdr:colOff>
      <xdr:row>5</xdr:row>
      <xdr:rowOff>61913</xdr:rowOff>
    </xdr:to>
    <xdr:pic>
      <xdr:nvPicPr>
        <xdr:cNvPr id="12" name="Imagem 1" descr="cid:image001.jpg@01D496BB.41BEC8A0">
          <a:extLst>
            <a:ext uri="{FF2B5EF4-FFF2-40B4-BE49-F238E27FC236}">
              <a16:creationId xmlns:a16="http://schemas.microsoft.com/office/drawing/2014/main" id="{365459C7-B947-45FF-BE78-BA2E8B1E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8" y="285750"/>
          <a:ext cx="1843088" cy="919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0</xdr:row>
      <xdr:rowOff>47625</xdr:rowOff>
    </xdr:from>
    <xdr:to>
      <xdr:col>2</xdr:col>
      <xdr:colOff>33338</xdr:colOff>
      <xdr:row>5</xdr:row>
      <xdr:rowOff>21431</xdr:rowOff>
    </xdr:to>
    <xdr:pic>
      <xdr:nvPicPr>
        <xdr:cNvPr id="3" name="Imagem 1" descr="cid:image001.jpg@01D496BB.41BEC8A0">
          <a:extLst>
            <a:ext uri="{FF2B5EF4-FFF2-40B4-BE49-F238E27FC236}">
              <a16:creationId xmlns:a16="http://schemas.microsoft.com/office/drawing/2014/main" id="{7BEE9555-8556-4A40-87B0-3CC001C8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1" y="47625"/>
          <a:ext cx="184308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512444</xdr:colOff>
      <xdr:row>24</xdr:row>
      <xdr:rowOff>161683</xdr:rowOff>
    </xdr:from>
    <xdr:to>
      <xdr:col>5</xdr:col>
      <xdr:colOff>18574</xdr:colOff>
      <xdr:row>45</xdr:row>
      <xdr:rowOff>146207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FD54596-6C05-4590-9821-BEAD17688F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9525</xdr:colOff>
      <xdr:row>48</xdr:row>
      <xdr:rowOff>9525</xdr:rowOff>
    </xdr:to>
    <xdr:pic>
      <xdr:nvPicPr>
        <xdr:cNvPr id="4" name="grd_IADD" descr="|">
          <a:extLst>
            <a:ext uri="{FF2B5EF4-FFF2-40B4-BE49-F238E27FC236}">
              <a16:creationId xmlns:a16="http://schemas.microsoft.com/office/drawing/2014/main" id="{F72CBA46-266F-4800-8EF2-2DEC20CF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877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48</xdr:row>
      <xdr:rowOff>0</xdr:rowOff>
    </xdr:from>
    <xdr:to>
      <xdr:col>6</xdr:col>
      <xdr:colOff>28575</xdr:colOff>
      <xdr:row>48</xdr:row>
      <xdr:rowOff>9525</xdr:rowOff>
    </xdr:to>
    <xdr:pic>
      <xdr:nvPicPr>
        <xdr:cNvPr id="5" name="grd_IADU" descr="|">
          <a:extLst>
            <a:ext uri="{FF2B5EF4-FFF2-40B4-BE49-F238E27FC236}">
              <a16:creationId xmlns:a16="http://schemas.microsoft.com/office/drawing/2014/main" id="{AC50901E-A876-4EED-BBF9-730B0F9C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877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48</xdr:row>
      <xdr:rowOff>0</xdr:rowOff>
    </xdr:from>
    <xdr:to>
      <xdr:col>6</xdr:col>
      <xdr:colOff>47625</xdr:colOff>
      <xdr:row>48</xdr:row>
      <xdr:rowOff>9525</xdr:rowOff>
    </xdr:to>
    <xdr:pic>
      <xdr:nvPicPr>
        <xdr:cNvPr id="6" name="grd_IDHF" descr="Hide">
          <a:extLst>
            <a:ext uri="{FF2B5EF4-FFF2-40B4-BE49-F238E27FC236}">
              <a16:creationId xmlns:a16="http://schemas.microsoft.com/office/drawing/2014/main" id="{39F20784-AEEC-4084-A7A1-8414ED78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877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7" name="grd_IADD" descr="|">
          <a:extLst>
            <a:ext uri="{FF2B5EF4-FFF2-40B4-BE49-F238E27FC236}">
              <a16:creationId xmlns:a16="http://schemas.microsoft.com/office/drawing/2014/main" id="{721ED2AC-60CE-4B28-A238-FC2FB8AD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49</xdr:row>
      <xdr:rowOff>0</xdr:rowOff>
    </xdr:from>
    <xdr:to>
      <xdr:col>6</xdr:col>
      <xdr:colOff>28575</xdr:colOff>
      <xdr:row>49</xdr:row>
      <xdr:rowOff>9525</xdr:rowOff>
    </xdr:to>
    <xdr:pic>
      <xdr:nvPicPr>
        <xdr:cNvPr id="8" name="grd_IADU" descr="|">
          <a:extLst>
            <a:ext uri="{FF2B5EF4-FFF2-40B4-BE49-F238E27FC236}">
              <a16:creationId xmlns:a16="http://schemas.microsoft.com/office/drawing/2014/main" id="{AC445DDC-F142-4F77-8584-EB1916CC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49</xdr:row>
      <xdr:rowOff>0</xdr:rowOff>
    </xdr:from>
    <xdr:to>
      <xdr:col>6</xdr:col>
      <xdr:colOff>47625</xdr:colOff>
      <xdr:row>49</xdr:row>
      <xdr:rowOff>9525</xdr:rowOff>
    </xdr:to>
    <xdr:pic>
      <xdr:nvPicPr>
        <xdr:cNvPr id="9" name="grd_IDHF" descr="Hide">
          <a:extLst>
            <a:ext uri="{FF2B5EF4-FFF2-40B4-BE49-F238E27FC236}">
              <a16:creationId xmlns:a16="http://schemas.microsoft.com/office/drawing/2014/main" id="{3D061525-F864-46B9-9D1C-6983356E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3</xdr:col>
      <xdr:colOff>389467</xdr:colOff>
      <xdr:row>18</xdr:row>
      <xdr:rowOff>107949</xdr:rowOff>
    </xdr:to>
    <xdr:pic>
      <xdr:nvPicPr>
        <xdr:cNvPr id="9" name="Imagem 8" descr="Logo_ADASA_2009_Hor_Color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667" y="2645833"/>
          <a:ext cx="2622550" cy="880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561975</xdr:colOff>
      <xdr:row>5</xdr:row>
      <xdr:rowOff>152400</xdr:rowOff>
    </xdr:to>
    <xdr:pic>
      <xdr:nvPicPr>
        <xdr:cNvPr id="4" name="Imagem 1" descr="cid:image001.jpg@01D496BB.41BEC8A0">
          <a:extLst>
            <a:ext uri="{FF2B5EF4-FFF2-40B4-BE49-F238E27FC236}">
              <a16:creationId xmlns:a16="http://schemas.microsoft.com/office/drawing/2014/main" id="{46D078A2-5AD1-4D62-A9ED-A443DB7C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545041</xdr:colOff>
      <xdr:row>15</xdr:row>
      <xdr:rowOff>116946</xdr:rowOff>
    </xdr:from>
    <xdr:to>
      <xdr:col>13</xdr:col>
      <xdr:colOff>442117</xdr:colOff>
      <xdr:row>33</xdr:row>
      <xdr:rowOff>75934</xdr:rowOff>
    </xdr:to>
    <xdr:graphicFrame macro="">
      <xdr:nvGraphicFramePr>
        <xdr:cNvPr id="7" name="Gráfico 3">
          <a:extLst>
            <a:ext uri="{FF2B5EF4-FFF2-40B4-BE49-F238E27FC236}">
              <a16:creationId xmlns:a16="http://schemas.microsoft.com/office/drawing/2014/main" id="{FE8A0BFC-990B-46F3-BF96-179D43698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11906</xdr:rowOff>
    </xdr:from>
    <xdr:to>
      <xdr:col>1</xdr:col>
      <xdr:colOff>1847850</xdr:colOff>
      <xdr:row>4</xdr:row>
      <xdr:rowOff>135731</xdr:rowOff>
    </xdr:to>
    <xdr:pic>
      <xdr:nvPicPr>
        <xdr:cNvPr id="5" name="Imagem 1" descr="cid:image001.jpg@01D496BB.41BEC8A0">
          <a:extLst>
            <a:ext uri="{FF2B5EF4-FFF2-40B4-BE49-F238E27FC236}">
              <a16:creationId xmlns:a16="http://schemas.microsoft.com/office/drawing/2014/main" id="{8F31F05E-341C-4952-99DA-BFDE9D11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1906"/>
          <a:ext cx="1847850" cy="921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1847850</xdr:colOff>
      <xdr:row>3</xdr:row>
      <xdr:rowOff>323850</xdr:rowOff>
    </xdr:to>
    <xdr:pic>
      <xdr:nvPicPr>
        <xdr:cNvPr id="3" name="Imagem 1" descr="cid:image001.jpg@01D496BB.41BEC8A0">
          <a:extLst>
            <a:ext uri="{FF2B5EF4-FFF2-40B4-BE49-F238E27FC236}">
              <a16:creationId xmlns:a16="http://schemas.microsoft.com/office/drawing/2014/main" id="{1A4C9F1B-AEB2-4CB4-91D6-A6A8E5D8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119063</xdr:rowOff>
    </xdr:from>
    <xdr:to>
      <xdr:col>1</xdr:col>
      <xdr:colOff>1847850</xdr:colOff>
      <xdr:row>5</xdr:row>
      <xdr:rowOff>92869</xdr:rowOff>
    </xdr:to>
    <xdr:pic>
      <xdr:nvPicPr>
        <xdr:cNvPr id="2" name="Imagem 1" descr="cid:image001.jpg@01D496BB.41BEC8A0">
          <a:extLst>
            <a:ext uri="{FF2B5EF4-FFF2-40B4-BE49-F238E27FC236}">
              <a16:creationId xmlns:a16="http://schemas.microsoft.com/office/drawing/2014/main" id="{6BA531B7-DFAF-498F-9535-605E8065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119063"/>
          <a:ext cx="18478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1238248</xdr:colOff>
      <xdr:row>18</xdr:row>
      <xdr:rowOff>11906</xdr:rowOff>
    </xdr:from>
    <xdr:to>
      <xdr:col>10</xdr:col>
      <xdr:colOff>464343</xdr:colOff>
      <xdr:row>36</xdr:row>
      <xdr:rowOff>67867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EEEF75C-D86C-4111-A493-EECAD3BAF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357188</xdr:colOff>
      <xdr:row>0</xdr:row>
      <xdr:rowOff>134540</xdr:rowOff>
    </xdr:from>
    <xdr:to>
      <xdr:col>9</xdr:col>
      <xdr:colOff>845344</xdr:colOff>
      <xdr:row>17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64AE014-AF5A-4B0E-A74C-3E77743DC4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297655</xdr:colOff>
      <xdr:row>17</xdr:row>
      <xdr:rowOff>23812</xdr:rowOff>
    </xdr:from>
    <xdr:to>
      <xdr:col>7</xdr:col>
      <xdr:colOff>309563</xdr:colOff>
      <xdr:row>34</xdr:row>
      <xdr:rowOff>175022</xdr:rowOff>
    </xdr:to>
    <xdr:graphicFrame macro="">
      <xdr:nvGraphicFramePr>
        <xdr:cNvPr id="13" name="Gráfico 5">
          <a:extLst>
            <a:ext uri="{FF2B5EF4-FFF2-40B4-BE49-F238E27FC236}">
              <a16:creationId xmlns:a16="http://schemas.microsoft.com/office/drawing/2014/main" id="{B7B5DFB5-C7BE-48A2-9366-E14006864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800100</xdr:colOff>
      <xdr:row>5</xdr:row>
      <xdr:rowOff>123825</xdr:rowOff>
    </xdr:to>
    <xdr:pic>
      <xdr:nvPicPr>
        <xdr:cNvPr id="2" name="Imagem 1" descr="cid:image001.jpg@01D496BB.41BEC8A0">
          <a:extLst>
            <a:ext uri="{FF2B5EF4-FFF2-40B4-BE49-F238E27FC236}">
              <a16:creationId xmlns:a16="http://schemas.microsoft.com/office/drawing/2014/main" id="{E30B12DD-EE0D-4B92-A181-32E7CFEB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50800</xdr:rowOff>
    </xdr:from>
    <xdr:to>
      <xdr:col>2</xdr:col>
      <xdr:colOff>993294</xdr:colOff>
      <xdr:row>4</xdr:row>
      <xdr:rowOff>157692</xdr:rowOff>
    </xdr:to>
    <xdr:pic>
      <xdr:nvPicPr>
        <xdr:cNvPr id="3" name="Imagem 2" descr="cid:image001.jpg@01D496BB.41BEC8A0">
          <a:extLst>
            <a:ext uri="{FF2B5EF4-FFF2-40B4-BE49-F238E27FC236}">
              <a16:creationId xmlns:a16="http://schemas.microsoft.com/office/drawing/2014/main" id="{504A61F4-DE03-4A25-A88A-2938AF7A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50800"/>
          <a:ext cx="1873827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1847850</xdr:colOff>
      <xdr:row>5</xdr:row>
      <xdr:rowOff>152400</xdr:rowOff>
    </xdr:to>
    <xdr:pic>
      <xdr:nvPicPr>
        <xdr:cNvPr id="3" name="Imagem 1" descr="cid:image001.jpg@01D496BB.41BEC8A0">
          <a:extLst>
            <a:ext uri="{FF2B5EF4-FFF2-40B4-BE49-F238E27FC236}">
              <a16:creationId xmlns:a16="http://schemas.microsoft.com/office/drawing/2014/main" id="{75C910AA-34AF-42E8-96B6-5EC01853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178594"/>
          <a:ext cx="18478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4\WORKFA\lydiane\ME\ADASA\AP\MODELO_ER_-_ADASA_xv_1.1x_-_AP_001-2008\(BASE)%20EMPRESA%20REFERENCIA%20-%20ANEEL%20-%20CEB%20AP%20-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rspfs04\WORKFA\Users\Valuation%20Group\Business%20Valuation\SERVI&#199;OS\Regula&#231;&#227;o%20Econ&#244;mica\2.%20Projetos\2015\ADASA\6.%20Pesquisas%20DTT\0.%20ADASA%20-%20Planilhas\NT%20005-2010\MODELO_Custos%20Operacionais%20Eficientes%20-%20NT%20005-2010%20-%20Pos-AP001%20-%202010.xls?69D9A924" TargetMode="External"/><Relationship Id="rId1" Type="http://schemas.openxmlformats.org/officeDocument/2006/relationships/externalLinkPath" Target="file:///\\69D9A924\MODELO_Custos%20Operacionais%20Eficientes%20-%20NT%20005-2010%20-%20Pos-AP001%20-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\Users\Valuation%20Group\Business%20Valuation\SERVI&#199;OS\Regula&#231;&#227;o%20Econ&#244;mica\2.%20Projetos\2014\Agesan\2.%20Execu&#231;&#227;o\Entrega%202%20-%20Diagn&#243;stico%20da%20Situa&#231;&#227;o%20atual\Item%20V\Lages\DRE%20Hist&#243;rica_Lag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1\WORKFAS\FAS\Clientes%202008\Henkel\WACC\WACC_junho_2008%20Ajustada_Henkel_v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bcfs\workfas\Users\CORPORA\Staff\Fernanda%20Sodr&#233;\Tr&#243;pico\Wacc%20VoiP%20Novembro_2004%20fernan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CONTROLE"/>
      <sheetName val="Parâmetros"/>
      <sheetName val="Consumidores"/>
      <sheetName val="Dados Físicos"/>
      <sheetName val="Custos Adicionais"/>
      <sheetName val="EmpresasDadosGerais"/>
      <sheetName val="Índices"/>
      <sheetName val="Custo Mat de Tarefas"/>
      <sheetName val="Custos EPC-EPI"/>
      <sheetName val="Custo Equipe"/>
      <sheetName val="Custos de Veículo"/>
      <sheetName val="Administração e Sistemas"/>
      <sheetName val="Salarios"/>
      <sheetName val="Cluster1"/>
      <sheetName val="Cluster2"/>
      <sheetName val="Cluster3"/>
      <sheetName val="Cluster4"/>
      <sheetName val="Cluster5"/>
      <sheetName val="Cluster6"/>
      <sheetName val="Cluster7"/>
      <sheetName val="Cluster8"/>
      <sheetName val="Cluster9"/>
      <sheetName val="Cluster10"/>
      <sheetName val="Gastos Gerencias Regionais"/>
      <sheetName val="Tarefas Comerciais"/>
      <sheetName val="Tarefas de O&amp;M"/>
      <sheetName val="Gastos Sistemas Computacionais"/>
      <sheetName val="Plan1"/>
      <sheetName val="Faturamento"/>
      <sheetName val="Perdas velha"/>
      <sheetName val="Perdas Nao Técnicas"/>
      <sheetName val="Teleatendimentovelho"/>
      <sheetName val="Teleatendimento"/>
      <sheetName val="Relatorio 1"/>
      <sheetName val="Relatorio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P-Indices"/>
      <sheetName val="P-Salarios"/>
      <sheetName val="P-Equipes"/>
      <sheetName val="P-Veiculos"/>
      <sheetName val="E-Estrutura"/>
      <sheetName val="E-AdmSist"/>
      <sheetName val="E-ETA-ETE"/>
      <sheetName val="E-Elevatorias"/>
      <sheetName val="E-Comercial"/>
      <sheetName val="E-Economias"/>
      <sheetName val="E-Fisicos-Agua (Cap)"/>
      <sheetName val="E-Fisicos-Agua (ETA)"/>
      <sheetName val="E-Fisicos-Agua (Dist)"/>
      <sheetName val="E-Fisicos-Esgoto (Col)"/>
      <sheetName val="E-Fisicos-Esgoto (ETE)"/>
      <sheetName val="E-Fisicos-Esgoto (Emi)"/>
      <sheetName val="E-Adicionais"/>
      <sheetName val="C-Sistemas"/>
      <sheetName val="C-EstCentral"/>
      <sheetName val="C-Regional"/>
      <sheetName val="C-Elevatorias"/>
      <sheetName val="C-ETA-ETE Adm"/>
      <sheetName val="C-ETA-ETE Insumos"/>
      <sheetName val="C-EscritCom"/>
      <sheetName val="C-Faturamento"/>
      <sheetName val="C-Teleatendimento"/>
      <sheetName val="C-O&amp;M-Agua (Cap)"/>
      <sheetName val="C-O&amp;M-Agua (ETA)"/>
      <sheetName val="C-O&amp;M-Agua (Dist)"/>
      <sheetName val="C-O&amp;M-Esgoto (Col)"/>
      <sheetName val="C-O&amp;M-Esgoto (ETE)"/>
      <sheetName val="C-O&amp;M-Esgoto (Emi)"/>
      <sheetName val="S-Geral"/>
      <sheetName val="S-Sistemas"/>
      <sheetName val="S-EstCentral"/>
      <sheetName val="S-Regional"/>
      <sheetName val="S-Elevatorias"/>
      <sheetName val="S-ETA-ETE"/>
      <sheetName val="S-EscritCom"/>
      <sheetName val="S-Faturamento"/>
      <sheetName val="S-Teleatendimento"/>
      <sheetName val="S-O&amp;M Gasto"/>
      <sheetName val="S-O&amp;M Qtdes"/>
      <sheetName val="S-CustSistema"/>
    </sheetNames>
    <sheetDataSet>
      <sheetData sheetId="0">
        <row r="9">
          <cell r="D9">
            <v>0.12106060606060608</v>
          </cell>
        </row>
        <row r="12">
          <cell r="D12">
            <v>2.1985163471443414E-2</v>
          </cell>
        </row>
        <row r="13">
          <cell r="D13">
            <v>-1.1395249954443298E-2</v>
          </cell>
        </row>
        <row r="15">
          <cell r="D15">
            <v>-4.1405391204552E-2</v>
          </cell>
        </row>
        <row r="16">
          <cell r="D16">
            <v>-6.7652311243394214E-2</v>
          </cell>
        </row>
      </sheetData>
      <sheetData sheetId="1">
        <row r="9">
          <cell r="D9">
            <v>0.28999999999999998</v>
          </cell>
        </row>
        <row r="10">
          <cell r="D10">
            <v>0.08</v>
          </cell>
        </row>
        <row r="11">
          <cell r="D11">
            <v>415</v>
          </cell>
        </row>
        <row r="12">
          <cell r="D12">
            <v>8.3333333333333329E-2</v>
          </cell>
        </row>
        <row r="13">
          <cell r="D13">
            <v>2.7777777777777776E-2</v>
          </cell>
        </row>
        <row r="15">
          <cell r="D15">
            <v>0.1</v>
          </cell>
        </row>
        <row r="16">
          <cell r="D16">
            <v>0.2</v>
          </cell>
        </row>
        <row r="17">
          <cell r="D17">
            <v>0.4</v>
          </cell>
        </row>
        <row r="18">
          <cell r="D18">
            <v>1.4999999999999999E-2</v>
          </cell>
        </row>
        <row r="19">
          <cell r="D19">
            <v>0</v>
          </cell>
        </row>
        <row r="20">
          <cell r="D20">
            <v>0.2</v>
          </cell>
        </row>
        <row r="21">
          <cell r="D21">
            <v>0</v>
          </cell>
        </row>
        <row r="22">
          <cell r="D22">
            <v>7.5</v>
          </cell>
        </row>
        <row r="23">
          <cell r="D23">
            <v>6</v>
          </cell>
        </row>
        <row r="24">
          <cell r="D24">
            <v>5</v>
          </cell>
        </row>
        <row r="25">
          <cell r="D25">
            <v>20</v>
          </cell>
        </row>
        <row r="26">
          <cell r="D26">
            <v>46</v>
          </cell>
        </row>
        <row r="27">
          <cell r="D27">
            <v>50</v>
          </cell>
        </row>
        <row r="28">
          <cell r="D28">
            <v>12</v>
          </cell>
        </row>
      </sheetData>
      <sheetData sheetId="2">
        <row r="9">
          <cell r="C9" t="str">
            <v>PRESIDENTE</v>
          </cell>
          <cell r="E9">
            <v>22456.841666666671</v>
          </cell>
          <cell r="F9">
            <v>22950.559001760659</v>
          </cell>
          <cell r="G9">
            <v>275406.70802112791</v>
          </cell>
          <cell r="L9">
            <v>22950.559001760659</v>
          </cell>
          <cell r="M9">
            <v>7650.1863339202191</v>
          </cell>
          <cell r="N9">
            <v>88742.161473474553</v>
          </cell>
          <cell r="O9">
            <v>24480.596268544705</v>
          </cell>
          <cell r="P9">
            <v>4131.1006203169181</v>
          </cell>
          <cell r="Q9">
            <v>55081.341604225585</v>
          </cell>
          <cell r="R9">
            <v>0</v>
          </cell>
          <cell r="S9">
            <v>203035.94530224265</v>
          </cell>
          <cell r="T9">
            <v>478442.65332337056</v>
          </cell>
          <cell r="U9">
            <v>39870.22111028088</v>
          </cell>
          <cell r="V9">
            <v>277.3580598976061</v>
          </cell>
        </row>
        <row r="10">
          <cell r="C10" t="str">
            <v>DIRETOR</v>
          </cell>
          <cell r="E10">
            <v>20204.134999999998</v>
          </cell>
          <cell r="F10">
            <v>20648.32621077411</v>
          </cell>
          <cell r="G10">
            <v>247779.91452928932</v>
          </cell>
          <cell r="L10">
            <v>20648.32621077411</v>
          </cell>
          <cell r="M10">
            <v>6882.7754035913695</v>
          </cell>
          <cell r="N10">
            <v>79840.194681659894</v>
          </cell>
          <cell r="O10">
            <v>22024.881291492387</v>
          </cell>
          <cell r="P10">
            <v>3716.6987179393395</v>
          </cell>
          <cell r="Q10">
            <v>49555.982905857869</v>
          </cell>
          <cell r="R10">
            <v>0</v>
          </cell>
          <cell r="S10">
            <v>182668.85921131496</v>
          </cell>
          <cell r="T10">
            <v>430448.77374060429</v>
          </cell>
          <cell r="U10">
            <v>35870.731145050355</v>
          </cell>
          <cell r="V10">
            <v>249.53552100904597</v>
          </cell>
        </row>
        <row r="11">
          <cell r="C11" t="str">
            <v>AN.SUPORTE A-V</v>
          </cell>
          <cell r="E11">
            <v>14056.206458333332</v>
          </cell>
          <cell r="F11">
            <v>14365.23445510815</v>
          </cell>
          <cell r="G11">
            <v>172382.8134612978</v>
          </cell>
          <cell r="L11">
            <v>14365.23445510815</v>
          </cell>
          <cell r="M11">
            <v>4788.4114850360502</v>
          </cell>
          <cell r="N11">
            <v>55545.573226418179</v>
          </cell>
          <cell r="O11">
            <v>15322.916752115359</v>
          </cell>
          <cell r="P11">
            <v>2585.7422019194669</v>
          </cell>
          <cell r="Q11">
            <v>34476.562692259562</v>
          </cell>
          <cell r="R11">
            <v>0</v>
          </cell>
          <cell r="S11">
            <v>127084.44081285677</v>
          </cell>
          <cell r="T11">
            <v>299467.25427415455</v>
          </cell>
          <cell r="U11">
            <v>24955.604522846214</v>
          </cell>
          <cell r="V11">
            <v>173.60420537632149</v>
          </cell>
        </row>
        <row r="12">
          <cell r="C12" t="str">
            <v>ANAL.OPERAC. IV</v>
          </cell>
          <cell r="E12">
            <v>12310.005869565217</v>
          </cell>
          <cell r="F12">
            <v>12580.643360942036</v>
          </cell>
          <cell r="G12">
            <v>150967.72033130444</v>
          </cell>
          <cell r="L12">
            <v>12580.643360942036</v>
          </cell>
          <cell r="M12">
            <v>4193.5477869806791</v>
          </cell>
          <cell r="N12">
            <v>48645.154328975877</v>
          </cell>
          <cell r="O12">
            <v>13419.352918338176</v>
          </cell>
          <cell r="P12">
            <v>2264.5158049695665</v>
          </cell>
          <cell r="Q12">
            <v>30193.544066260889</v>
          </cell>
          <cell r="R12">
            <v>0</v>
          </cell>
          <cell r="S12">
            <v>111296.75826646722</v>
          </cell>
          <cell r="T12">
            <v>262264.47859777167</v>
          </cell>
          <cell r="U12">
            <v>21855.373216480973</v>
          </cell>
          <cell r="V12">
            <v>152.03737889725895</v>
          </cell>
        </row>
        <row r="13">
          <cell r="C13" t="str">
            <v>AN.SUPORTE A-IV</v>
          </cell>
          <cell r="E13">
            <v>11291.15836666667</v>
          </cell>
          <cell r="F13">
            <v>11539.396329139792</v>
          </cell>
          <cell r="G13">
            <v>138472.75594967749</v>
          </cell>
          <cell r="L13">
            <v>11539.39632913979</v>
          </cell>
          <cell r="M13">
            <v>3846.4654430465966</v>
          </cell>
          <cell r="N13">
            <v>44618.999139340522</v>
          </cell>
          <cell r="O13">
            <v>12308.68941774911</v>
          </cell>
          <cell r="P13">
            <v>2077.0913392451621</v>
          </cell>
          <cell r="Q13">
            <v>27694.551189935501</v>
          </cell>
          <cell r="R13">
            <v>0</v>
          </cell>
          <cell r="S13">
            <v>102085.19285845668</v>
          </cell>
          <cell r="T13">
            <v>240557.94880813418</v>
          </cell>
          <cell r="U13">
            <v>20046.495734011183</v>
          </cell>
          <cell r="V13">
            <v>139.45388336703431</v>
          </cell>
        </row>
        <row r="14">
          <cell r="C14" t="str">
            <v>AN.SUPORTE A-III</v>
          </cell>
          <cell r="E14">
            <v>10932.878888888888</v>
          </cell>
          <cell r="F14">
            <v>11173.240018474604</v>
          </cell>
          <cell r="G14">
            <v>134078.88022169523</v>
          </cell>
          <cell r="L14">
            <v>11173.240018474602</v>
          </cell>
          <cell r="M14">
            <v>3724.4133394915339</v>
          </cell>
          <cell r="N14">
            <v>43203.194738101796</v>
          </cell>
          <cell r="O14">
            <v>11918.12268637291</v>
          </cell>
          <cell r="P14">
            <v>2011.1832033254284</v>
          </cell>
          <cell r="Q14">
            <v>26815.776044339047</v>
          </cell>
          <cell r="R14">
            <v>0</v>
          </cell>
          <cell r="S14">
            <v>98845.930030105315</v>
          </cell>
          <cell r="T14">
            <v>232924.81025180055</v>
          </cell>
          <cell r="U14">
            <v>19410.400854316711</v>
          </cell>
          <cell r="V14">
            <v>135.02887550829018</v>
          </cell>
        </row>
        <row r="15">
          <cell r="C15" t="str">
            <v>ANAL.OPERAC. III</v>
          </cell>
          <cell r="E15">
            <v>9956.3983854166672</v>
          </cell>
          <cell r="F15">
            <v>10175.291431506868</v>
          </cell>
          <cell r="G15">
            <v>122103.49717808241</v>
          </cell>
          <cell r="I15">
            <v>498</v>
          </cell>
          <cell r="L15">
            <v>10216.791431506867</v>
          </cell>
          <cell r="M15">
            <v>3405.5971438356223</v>
          </cell>
          <cell r="N15">
            <v>39504.926868493218</v>
          </cell>
          <cell r="O15">
            <v>10897.910860273993</v>
          </cell>
          <cell r="P15">
            <v>1831.5524576712362</v>
          </cell>
          <cell r="Q15">
            <v>24420.699435616483</v>
          </cell>
          <cell r="R15">
            <v>0</v>
          </cell>
          <cell r="S15">
            <v>90775.478197397417</v>
          </cell>
          <cell r="T15">
            <v>212878.97537547984</v>
          </cell>
          <cell r="U15">
            <v>17739.914614623322</v>
          </cell>
          <cell r="V15">
            <v>123.40810166694483</v>
          </cell>
        </row>
        <row r="16">
          <cell r="C16" t="str">
            <v>AN.SUPORTE B-III</v>
          </cell>
          <cell r="E16">
            <v>8422.9791666666661</v>
          </cell>
          <cell r="F16">
            <v>8608.1597405623943</v>
          </cell>
          <cell r="G16">
            <v>103297.91688674873</v>
          </cell>
          <cell r="L16">
            <v>8608.1597405623943</v>
          </cell>
          <cell r="M16">
            <v>2869.3865801874645</v>
          </cell>
          <cell r="N16">
            <v>33284.884330174587</v>
          </cell>
          <cell r="O16">
            <v>9182.0370565998874</v>
          </cell>
          <cell r="P16">
            <v>1549.4687533012309</v>
          </cell>
          <cell r="Q16">
            <v>20659.583377349747</v>
          </cell>
          <cell r="R16">
            <v>0</v>
          </cell>
          <cell r="S16">
            <v>76153.519838175314</v>
          </cell>
          <cell r="T16">
            <v>179451.43672492405</v>
          </cell>
          <cell r="U16">
            <v>14954.28639374367</v>
          </cell>
          <cell r="V16">
            <v>104.02981839126032</v>
          </cell>
        </row>
        <row r="17">
          <cell r="C17" t="str">
            <v>ANAL.OPERAC. II</v>
          </cell>
          <cell r="E17">
            <v>7928.1062847222238</v>
          </cell>
          <cell r="F17">
            <v>8102.4069974108197</v>
          </cell>
          <cell r="G17">
            <v>97228.883968929833</v>
          </cell>
          <cell r="I17">
            <v>498</v>
          </cell>
          <cell r="L17">
            <v>8143.9069974108188</v>
          </cell>
          <cell r="M17">
            <v>2714.6356658036061</v>
          </cell>
          <cell r="N17">
            <v>31489.773723321832</v>
          </cell>
          <cell r="O17">
            <v>8686.8341305715403</v>
          </cell>
          <cell r="P17">
            <v>1458.4332595339474</v>
          </cell>
          <cell r="Q17">
            <v>19445.776793785968</v>
          </cell>
          <cell r="R17">
            <v>0</v>
          </cell>
          <cell r="S17">
            <v>72437.360570427729</v>
          </cell>
          <cell r="T17">
            <v>169666.24453935755</v>
          </cell>
          <cell r="U17">
            <v>14138.853711613128</v>
          </cell>
          <cell r="V17">
            <v>98.357243211221771</v>
          </cell>
        </row>
        <row r="18">
          <cell r="C18" t="str">
            <v>AN.SUPORTE A-II</v>
          </cell>
          <cell r="E18">
            <v>6613.185625000001</v>
          </cell>
          <cell r="F18">
            <v>6758.5775920326259</v>
          </cell>
          <cell r="G18">
            <v>81102.931104391508</v>
          </cell>
          <cell r="L18">
            <v>6758.577592032625</v>
          </cell>
          <cell r="M18">
            <v>2252.8591973442085</v>
          </cell>
          <cell r="N18">
            <v>26133.166689192818</v>
          </cell>
          <cell r="O18">
            <v>7209.1494315014679</v>
          </cell>
          <cell r="P18">
            <v>1216.5439665658726</v>
          </cell>
          <cell r="Q18">
            <v>16220.586220878302</v>
          </cell>
          <cell r="R18">
            <v>0</v>
          </cell>
          <cell r="S18">
            <v>59790.883097515296</v>
          </cell>
          <cell r="T18">
            <v>140893.81420190679</v>
          </cell>
          <cell r="U18">
            <v>11741.151183492233</v>
          </cell>
          <cell r="V18">
            <v>81.677573450380748</v>
          </cell>
        </row>
        <row r="19">
          <cell r="C19" t="str">
            <v>TEC.CONTAB. II</v>
          </cell>
          <cell r="E19">
            <v>6534.2722916666671</v>
          </cell>
          <cell r="F19">
            <v>6677.929336165882</v>
          </cell>
          <cell r="G19">
            <v>80135.152033990584</v>
          </cell>
          <cell r="L19">
            <v>6677.929336165882</v>
          </cell>
          <cell r="M19">
            <v>2225.9764453886273</v>
          </cell>
          <cell r="N19">
            <v>25821.326766508075</v>
          </cell>
          <cell r="O19">
            <v>7123.1246252436076</v>
          </cell>
          <cell r="P19">
            <v>1202.0272805098587</v>
          </cell>
          <cell r="Q19">
            <v>16027.030406798118</v>
          </cell>
          <cell r="R19">
            <v>0</v>
          </cell>
          <cell r="S19">
            <v>59077.414860614175</v>
          </cell>
          <cell r="T19">
            <v>139212.56689460477</v>
          </cell>
          <cell r="U19">
            <v>11601.047241217064</v>
          </cell>
          <cell r="V19">
            <v>80.702937330205657</v>
          </cell>
        </row>
        <row r="20">
          <cell r="C20" t="str">
            <v>TEC.OPERAC. IV</v>
          </cell>
          <cell r="E20">
            <v>6300.295196078433</v>
          </cell>
          <cell r="F20">
            <v>6438.8082158825673</v>
          </cell>
          <cell r="G20">
            <v>77265.698590590808</v>
          </cell>
          <cell r="L20">
            <v>6438.8082158825673</v>
          </cell>
          <cell r="M20">
            <v>2146.2694052941888</v>
          </cell>
          <cell r="N20">
            <v>24896.725101412594</v>
          </cell>
          <cell r="O20">
            <v>6868.0620969414058</v>
          </cell>
          <cell r="P20">
            <v>1158.9854788588621</v>
          </cell>
          <cell r="Q20">
            <v>15453.139718118162</v>
          </cell>
          <cell r="R20">
            <v>0</v>
          </cell>
          <cell r="S20">
            <v>56961.990016507778</v>
          </cell>
          <cell r="T20">
            <v>134227.68860709859</v>
          </cell>
          <cell r="U20">
            <v>11185.640717258217</v>
          </cell>
          <cell r="V20">
            <v>77.81315281570933</v>
          </cell>
        </row>
        <row r="21">
          <cell r="C21" t="str">
            <v>TEC.CONTAB. III</v>
          </cell>
          <cell r="E21">
            <v>6095.7141666666676</v>
          </cell>
          <cell r="F21">
            <v>6229.7294390960278</v>
          </cell>
          <cell r="G21">
            <v>74756.753269152337</v>
          </cell>
          <cell r="L21">
            <v>6229.7294390960278</v>
          </cell>
          <cell r="M21">
            <v>2076.5764796986759</v>
          </cell>
          <cell r="N21">
            <v>24088.28716450464</v>
          </cell>
          <cell r="O21">
            <v>6645.0447350357636</v>
          </cell>
          <cell r="P21">
            <v>1121.3512990372851</v>
          </cell>
          <cell r="Q21">
            <v>14951.350653830468</v>
          </cell>
          <cell r="R21">
            <v>0</v>
          </cell>
          <cell r="S21">
            <v>55112.339771202853</v>
          </cell>
          <cell r="T21">
            <v>129869.09304035519</v>
          </cell>
          <cell r="U21">
            <v>10822.4244200296</v>
          </cell>
          <cell r="V21">
            <v>75.286430748031989</v>
          </cell>
        </row>
        <row r="22">
          <cell r="C22" t="str">
            <v>TEC.SEG.TRAB.III</v>
          </cell>
          <cell r="E22">
            <v>5847.2177083333336</v>
          </cell>
          <cell r="F22">
            <v>5975.7697455041607</v>
          </cell>
          <cell r="G22">
            <v>71709.236946049932</v>
          </cell>
          <cell r="L22">
            <v>5975.7697455041607</v>
          </cell>
          <cell r="M22">
            <v>1991.923248501387</v>
          </cell>
          <cell r="N22">
            <v>23106.309682616091</v>
          </cell>
          <cell r="O22">
            <v>6374.1543952044394</v>
          </cell>
          <cell r="P22">
            <v>1075.6385541907489</v>
          </cell>
          <cell r="Q22">
            <v>14341.847389209986</v>
          </cell>
          <cell r="R22">
            <v>0</v>
          </cell>
          <cell r="S22">
            <v>52865.643015226815</v>
          </cell>
          <cell r="T22">
            <v>124574.87996127675</v>
          </cell>
          <cell r="U22">
            <v>10381.239996773062</v>
          </cell>
          <cell r="V22">
            <v>72.217321716682179</v>
          </cell>
        </row>
        <row r="23">
          <cell r="C23" t="str">
            <v>TEC.SECRET. III</v>
          </cell>
          <cell r="E23">
            <v>5695.6366666666663</v>
          </cell>
          <cell r="F23">
            <v>5820.8561698572803</v>
          </cell>
          <cell r="G23">
            <v>69850.27403828736</v>
          </cell>
          <cell r="L23">
            <v>5820.8561698572794</v>
          </cell>
          <cell r="M23">
            <v>1940.2853899524266</v>
          </cell>
          <cell r="N23">
            <v>22507.310523448145</v>
          </cell>
          <cell r="O23">
            <v>6208.9132478477641</v>
          </cell>
          <cell r="P23">
            <v>1047.7541105743103</v>
          </cell>
          <cell r="Q23">
            <v>13970.054807657472</v>
          </cell>
          <cell r="R23">
            <v>0</v>
          </cell>
          <cell r="S23">
            <v>51495.174249337389</v>
          </cell>
          <cell r="T23">
            <v>121345.44828762475</v>
          </cell>
          <cell r="U23">
            <v>10112.120690635396</v>
          </cell>
          <cell r="V23">
            <v>70.345187413115795</v>
          </cell>
        </row>
        <row r="24">
          <cell r="C24" t="str">
            <v>ASSESSOR</v>
          </cell>
          <cell r="E24">
            <v>5286.5783914728681</v>
          </cell>
          <cell r="F24">
            <v>5402.8046816139995</v>
          </cell>
          <cell r="G24">
            <v>64833.656179367994</v>
          </cell>
          <cell r="L24">
            <v>5402.8046816139995</v>
          </cell>
          <cell r="M24">
            <v>1800.9348938713331</v>
          </cell>
          <cell r="N24">
            <v>20890.844768907467</v>
          </cell>
          <cell r="O24">
            <v>5762.9916603882666</v>
          </cell>
          <cell r="P24">
            <v>972.50484269051992</v>
          </cell>
          <cell r="Q24">
            <v>12966.7312358736</v>
          </cell>
          <cell r="R24">
            <v>0</v>
          </cell>
          <cell r="S24">
            <v>47796.812083345183</v>
          </cell>
          <cell r="T24">
            <v>112630.46826271317</v>
          </cell>
          <cell r="U24">
            <v>9385.8723552260981</v>
          </cell>
          <cell r="V24">
            <v>65.293025079833725</v>
          </cell>
        </row>
        <row r="25">
          <cell r="C25" t="str">
            <v>TEC.OPERAC. VI</v>
          </cell>
          <cell r="E25">
            <v>5244.7441666666664</v>
          </cell>
          <cell r="F25">
            <v>5360.0507245367326</v>
          </cell>
          <cell r="G25">
            <v>64320.608694440787</v>
          </cell>
          <cell r="L25">
            <v>5360.0507245367317</v>
          </cell>
          <cell r="M25">
            <v>1786.6835748455774</v>
          </cell>
          <cell r="N25">
            <v>20725.529468208697</v>
          </cell>
          <cell r="O25">
            <v>5717.3874395058483</v>
          </cell>
          <cell r="P25">
            <v>964.80913041661177</v>
          </cell>
          <cell r="Q25">
            <v>12864.121738888158</v>
          </cell>
          <cell r="R25">
            <v>0</v>
          </cell>
          <cell r="S25">
            <v>47418.582076401624</v>
          </cell>
          <cell r="T25">
            <v>111739.19077084241</v>
          </cell>
          <cell r="U25">
            <v>9311.5992309035337</v>
          </cell>
          <cell r="V25">
            <v>64.776342475850669</v>
          </cell>
        </row>
        <row r="26">
          <cell r="C26" t="str">
            <v>TEC.OPERAC. III</v>
          </cell>
          <cell r="E26">
            <v>5176.5381147540984</v>
          </cell>
          <cell r="F26">
            <v>5290.3451514231247</v>
          </cell>
          <cell r="G26">
            <v>63484.1418170775</v>
          </cell>
          <cell r="L26">
            <v>5290.3451514231247</v>
          </cell>
          <cell r="M26">
            <v>1763.4483838077083</v>
          </cell>
          <cell r="N26">
            <v>20456.001252169419</v>
          </cell>
          <cell r="O26">
            <v>5643.0348281846673</v>
          </cell>
          <cell r="P26">
            <v>952.26212725616244</v>
          </cell>
          <cell r="Q26">
            <v>12696.828363415501</v>
          </cell>
          <cell r="R26">
            <v>0</v>
          </cell>
          <cell r="S26">
            <v>46801.920106256584</v>
          </cell>
          <cell r="T26">
            <v>110286.06192333408</v>
          </cell>
          <cell r="U26">
            <v>9190.5051602778403</v>
          </cell>
          <cell r="V26">
            <v>63.933948941063235</v>
          </cell>
        </row>
        <row r="27">
          <cell r="C27" t="str">
            <v>AG.SUPORTE B-III</v>
          </cell>
          <cell r="E27">
            <v>5127.2628665123457</v>
          </cell>
          <cell r="F27">
            <v>5239.9865787936815</v>
          </cell>
          <cell r="G27">
            <v>62879.838945524178</v>
          </cell>
          <cell r="L27">
            <v>5239.9865787936815</v>
          </cell>
          <cell r="M27">
            <v>1746.6621929312271</v>
          </cell>
          <cell r="N27">
            <v>20261.281438002232</v>
          </cell>
          <cell r="O27">
            <v>5589.3190173799267</v>
          </cell>
          <cell r="P27">
            <v>943.19758418286267</v>
          </cell>
          <cell r="Q27">
            <v>12575.967789104836</v>
          </cell>
          <cell r="R27">
            <v>0</v>
          </cell>
          <cell r="S27">
            <v>46356.414600394761</v>
          </cell>
          <cell r="T27">
            <v>109236.25354591894</v>
          </cell>
          <cell r="U27">
            <v>9103.0211288265782</v>
          </cell>
          <cell r="V27">
            <v>63.325364374445762</v>
          </cell>
        </row>
        <row r="28">
          <cell r="C28" t="str">
            <v>TEC.INFORMAT.II</v>
          </cell>
          <cell r="E28">
            <v>4929.7445370370378</v>
          </cell>
          <cell r="F28">
            <v>5038.1257765562523</v>
          </cell>
          <cell r="G28">
            <v>60457.509318675031</v>
          </cell>
          <cell r="L28">
            <v>5038.1257765562523</v>
          </cell>
          <cell r="M28">
            <v>1679.375258852084</v>
          </cell>
          <cell r="N28">
            <v>19480.753002684174</v>
          </cell>
          <cell r="O28">
            <v>5374.0008283266698</v>
          </cell>
          <cell r="P28">
            <v>906.86263978012539</v>
          </cell>
          <cell r="Q28">
            <v>12091.501863735008</v>
          </cell>
          <cell r="R28">
            <v>0</v>
          </cell>
          <cell r="S28">
            <v>44570.619369934313</v>
          </cell>
          <cell r="T28">
            <v>105028.12868860934</v>
          </cell>
          <cell r="U28">
            <v>8752.3440573841126</v>
          </cell>
          <cell r="V28">
            <v>60.885871703541646</v>
          </cell>
        </row>
        <row r="29">
          <cell r="C29" t="str">
            <v>AG.OPERAC. A-VI</v>
          </cell>
          <cell r="E29">
            <v>4918.8289639639643</v>
          </cell>
          <cell r="F29">
            <v>5026.9702228247825</v>
          </cell>
          <cell r="G29">
            <v>60323.64267389739</v>
          </cell>
          <cell r="I29">
            <v>498</v>
          </cell>
          <cell r="L29">
            <v>5068.4702228247825</v>
          </cell>
          <cell r="M29">
            <v>1689.4900742749273</v>
          </cell>
          <cell r="N29">
            <v>19598.084861589159</v>
          </cell>
          <cell r="O29">
            <v>5406.3682376797688</v>
          </cell>
          <cell r="P29">
            <v>904.85464010846079</v>
          </cell>
          <cell r="Q29">
            <v>12064.728534779479</v>
          </cell>
          <cell r="R29">
            <v>0</v>
          </cell>
          <cell r="S29">
            <v>45229.996571256575</v>
          </cell>
          <cell r="T29">
            <v>105553.63924515396</v>
          </cell>
          <cell r="U29">
            <v>8796.1366037628304</v>
          </cell>
          <cell r="V29">
            <v>61.19051550443708</v>
          </cell>
        </row>
        <row r="30">
          <cell r="C30" t="str">
            <v>TEC.INFORMAT.III</v>
          </cell>
          <cell r="E30">
            <v>4898.1683333333331</v>
          </cell>
          <cell r="F30">
            <v>5005.8553648523139</v>
          </cell>
          <cell r="G30">
            <v>60070.264378227766</v>
          </cell>
          <cell r="L30">
            <v>5005.8553648523139</v>
          </cell>
          <cell r="M30">
            <v>1668.6184549507711</v>
          </cell>
          <cell r="N30">
            <v>19355.974077428946</v>
          </cell>
          <cell r="O30">
            <v>5339.5790558424687</v>
          </cell>
          <cell r="P30">
            <v>901.05396567341643</v>
          </cell>
          <cell r="Q30">
            <v>12014.052875645553</v>
          </cell>
          <cell r="R30">
            <v>0</v>
          </cell>
          <cell r="S30">
            <v>44285.13379439347</v>
          </cell>
          <cell r="T30">
            <v>104355.39817262124</v>
          </cell>
          <cell r="U30">
            <v>8696.2831810517691</v>
          </cell>
          <cell r="V30">
            <v>60.495882998621006</v>
          </cell>
        </row>
        <row r="31">
          <cell r="C31" t="str">
            <v>AN.SUPORTE A-I</v>
          </cell>
          <cell r="E31">
            <v>4876.5501255707759</v>
          </cell>
          <cell r="F31">
            <v>4983.7618772581372</v>
          </cell>
          <cell r="G31">
            <v>59805.142527097647</v>
          </cell>
          <cell r="L31">
            <v>4983.7618772581372</v>
          </cell>
          <cell r="M31">
            <v>1661.2539590860456</v>
          </cell>
          <cell r="N31">
            <v>19270.545925398128</v>
          </cell>
          <cell r="O31">
            <v>5316.0126690753459</v>
          </cell>
          <cell r="P31">
            <v>897.07713790646471</v>
          </cell>
          <cell r="Q31">
            <v>11961.02850541953</v>
          </cell>
          <cell r="R31">
            <v>0</v>
          </cell>
          <cell r="S31">
            <v>44089.680074143653</v>
          </cell>
          <cell r="T31">
            <v>103894.82260124129</v>
          </cell>
          <cell r="U31">
            <v>8657.9018834367744</v>
          </cell>
          <cell r="V31">
            <v>60.228882667386259</v>
          </cell>
        </row>
        <row r="32">
          <cell r="C32" t="str">
            <v>AG.OPERAC. B-III</v>
          </cell>
          <cell r="E32">
            <v>4575.4659761904768</v>
          </cell>
          <cell r="F32">
            <v>4676.0583436350516</v>
          </cell>
          <cell r="G32">
            <v>56112.70012362062</v>
          </cell>
          <cell r="L32">
            <v>4676.0583436350516</v>
          </cell>
          <cell r="M32">
            <v>1558.6861145450171</v>
          </cell>
          <cell r="N32">
            <v>18080.758928722196</v>
          </cell>
          <cell r="O32">
            <v>4987.795566544055</v>
          </cell>
          <cell r="P32">
            <v>841.69050185430922</v>
          </cell>
          <cell r="Q32">
            <v>11222.540024724125</v>
          </cell>
          <cell r="R32">
            <v>0</v>
          </cell>
          <cell r="S32">
            <v>41367.52948002475</v>
          </cell>
          <cell r="T32">
            <v>97480.229603645363</v>
          </cell>
          <cell r="U32">
            <v>8123.3524669704466</v>
          </cell>
          <cell r="V32">
            <v>56.510278031098764</v>
          </cell>
        </row>
        <row r="33">
          <cell r="C33" t="str">
            <v>ANAL.OPERAC. I</v>
          </cell>
          <cell r="E33">
            <v>4552.3954074074063</v>
          </cell>
          <cell r="F33">
            <v>4652.4805646259065</v>
          </cell>
          <cell r="G33">
            <v>55829.766775510878</v>
          </cell>
          <cell r="I33">
            <v>498</v>
          </cell>
          <cell r="L33">
            <v>4693.9805646259065</v>
          </cell>
          <cell r="M33">
            <v>1564.6601882086354</v>
          </cell>
          <cell r="N33">
            <v>18150.058183220168</v>
          </cell>
          <cell r="O33">
            <v>5006.9126022676337</v>
          </cell>
          <cell r="P33">
            <v>837.44650163266317</v>
          </cell>
          <cell r="Q33">
            <v>11165.953355102176</v>
          </cell>
          <cell r="R33">
            <v>0</v>
          </cell>
          <cell r="S33">
            <v>41917.011395057183</v>
          </cell>
          <cell r="T33">
            <v>97746.778170568054</v>
          </cell>
          <cell r="U33">
            <v>8145.5648475473381</v>
          </cell>
          <cell r="V33">
            <v>56.664798939459743</v>
          </cell>
        </row>
        <row r="34">
          <cell r="C34" t="str">
            <v>CONS. FISCAL</v>
          </cell>
          <cell r="E34">
            <v>4413.76</v>
          </cell>
          <cell r="F34">
            <v>4510.7972351237186</v>
          </cell>
          <cell r="G34">
            <v>54129.566821484623</v>
          </cell>
          <cell r="L34">
            <v>4510.7972351237186</v>
          </cell>
          <cell r="M34">
            <v>1503.5990783745729</v>
          </cell>
          <cell r="N34">
            <v>17441.749309145045</v>
          </cell>
          <cell r="O34">
            <v>4811.5170507986331</v>
          </cell>
          <cell r="P34">
            <v>811.9435023222693</v>
          </cell>
          <cell r="Q34">
            <v>10825.913364296925</v>
          </cell>
          <cell r="R34">
            <v>0</v>
          </cell>
          <cell r="S34">
            <v>39905.519540061163</v>
          </cell>
          <cell r="T34">
            <v>94035.086361545778</v>
          </cell>
          <cell r="U34">
            <v>7836.2571967954818</v>
          </cell>
          <cell r="V34">
            <v>54.513093542925091</v>
          </cell>
        </row>
        <row r="35">
          <cell r="C35" t="str">
            <v>AG.SUPORTE A-III</v>
          </cell>
          <cell r="E35">
            <v>4317.2598148148154</v>
          </cell>
          <cell r="F35">
            <v>4412.1754775922127</v>
          </cell>
          <cell r="G35">
            <v>52946.105731106552</v>
          </cell>
          <cell r="L35">
            <v>4412.1754775922127</v>
          </cell>
          <cell r="M35">
            <v>1470.7251591974041</v>
          </cell>
          <cell r="N35">
            <v>17060.411846689891</v>
          </cell>
          <cell r="O35">
            <v>4706.3205094316936</v>
          </cell>
          <cell r="P35">
            <v>794.19158596659827</v>
          </cell>
          <cell r="Q35">
            <v>10589.221146221311</v>
          </cell>
          <cell r="R35">
            <v>0</v>
          </cell>
          <cell r="S35">
            <v>39033.045725099109</v>
          </cell>
          <cell r="T35">
            <v>91979.151456205669</v>
          </cell>
          <cell r="U35">
            <v>7664.9292880171388</v>
          </cell>
          <cell r="V35">
            <v>53.321247220988795</v>
          </cell>
        </row>
        <row r="36">
          <cell r="C36" t="str">
            <v>TEC.SEG.TRAB.II</v>
          </cell>
          <cell r="E36">
            <v>4079.4641666666666</v>
          </cell>
          <cell r="F36">
            <v>4169.1518532467289</v>
          </cell>
          <cell r="G36">
            <v>50029.822238960747</v>
          </cell>
          <cell r="L36">
            <v>4169.1518532467289</v>
          </cell>
          <cell r="M36">
            <v>1389.7172844155762</v>
          </cell>
          <cell r="N36">
            <v>16120.720499220686</v>
          </cell>
          <cell r="O36">
            <v>4447.0953101298446</v>
          </cell>
          <cell r="P36">
            <v>750.44733358441113</v>
          </cell>
          <cell r="Q36">
            <v>10005.96444779215</v>
          </cell>
          <cell r="R36">
            <v>0</v>
          </cell>
          <cell r="S36">
            <v>36883.096728389399</v>
          </cell>
          <cell r="T36">
            <v>86912.918967350153</v>
          </cell>
          <cell r="U36">
            <v>7242.7432472791797</v>
          </cell>
          <cell r="V36">
            <v>50.384300850637771</v>
          </cell>
        </row>
        <row r="37">
          <cell r="C37" t="str">
            <v>TEC.OPERAC. II</v>
          </cell>
          <cell r="E37">
            <v>4041.8477845528464</v>
          </cell>
          <cell r="F37">
            <v>4130.7084688229324</v>
          </cell>
          <cell r="G37">
            <v>49568.501625875186</v>
          </cell>
          <cell r="I37">
            <v>498</v>
          </cell>
          <cell r="L37">
            <v>4172.2084688229315</v>
          </cell>
          <cell r="M37">
            <v>1390.7361562743106</v>
          </cell>
          <cell r="N37">
            <v>16132.539412782002</v>
          </cell>
          <cell r="O37">
            <v>4450.3557000777937</v>
          </cell>
          <cell r="P37">
            <v>743.52752438812774</v>
          </cell>
          <cell r="Q37">
            <v>9913.7003251750375</v>
          </cell>
          <cell r="R37">
            <v>0</v>
          </cell>
          <cell r="S37">
            <v>37301.0675875202</v>
          </cell>
          <cell r="T37">
            <v>86869.569213395385</v>
          </cell>
          <cell r="U37">
            <v>7239.1307677829491</v>
          </cell>
          <cell r="V37">
            <v>50.359170558490078</v>
          </cell>
        </row>
        <row r="38">
          <cell r="C38" t="str">
            <v>CONS.DE ADMINIS.</v>
          </cell>
          <cell r="E38">
            <v>3945.6339393939397</v>
          </cell>
          <cell r="F38">
            <v>4032.3793465499907</v>
          </cell>
          <cell r="G38">
            <v>48388.552158599887</v>
          </cell>
          <cell r="L38">
            <v>4032.3793465499903</v>
          </cell>
          <cell r="M38">
            <v>1344.1264488499967</v>
          </cell>
          <cell r="N38">
            <v>15591.866806659962</v>
          </cell>
          <cell r="O38">
            <v>4301.2046363199897</v>
          </cell>
          <cell r="P38">
            <v>725.82828237899832</v>
          </cell>
          <cell r="Q38">
            <v>9677.7104317199774</v>
          </cell>
          <cell r="R38">
            <v>0</v>
          </cell>
          <cell r="S38">
            <v>35673.115952478918</v>
          </cell>
          <cell r="T38">
            <v>84061.668111078805</v>
          </cell>
          <cell r="U38">
            <v>7005.1390092565671</v>
          </cell>
          <cell r="V38">
            <v>48.731401803523944</v>
          </cell>
        </row>
        <row r="39">
          <cell r="C39" t="str">
            <v>AG.OPERAC. A-V</v>
          </cell>
          <cell r="E39">
            <v>3888.8558399999997</v>
          </cell>
          <cell r="F39">
            <v>3974.352971359277</v>
          </cell>
          <cell r="G39">
            <v>47692.235656311328</v>
          </cell>
          <cell r="L39">
            <v>3974.352971359277</v>
          </cell>
          <cell r="M39">
            <v>1324.7843237864256</v>
          </cell>
          <cell r="N39">
            <v>15367.49815592254</v>
          </cell>
          <cell r="O39">
            <v>4239.309836116563</v>
          </cell>
          <cell r="P39">
            <v>715.38353484466984</v>
          </cell>
          <cell r="Q39">
            <v>9538.4471312622663</v>
          </cell>
          <cell r="R39">
            <v>0</v>
          </cell>
          <cell r="S39">
            <v>35159.775953291741</v>
          </cell>
          <cell r="T39">
            <v>82852.011609603069</v>
          </cell>
          <cell r="U39">
            <v>6904.3343008002557</v>
          </cell>
          <cell r="V39">
            <v>48.030151657740909</v>
          </cell>
        </row>
        <row r="40">
          <cell r="C40" t="str">
            <v>AG.SUPORTE B-II</v>
          </cell>
          <cell r="E40">
            <v>3784.5720274914079</v>
          </cell>
          <cell r="F40">
            <v>3867.7764621852584</v>
          </cell>
          <cell r="G40">
            <v>46413.317546223101</v>
          </cell>
          <cell r="L40">
            <v>3867.7764621852584</v>
          </cell>
          <cell r="M40">
            <v>1289.2588207284193</v>
          </cell>
          <cell r="N40">
            <v>14955.402320449664</v>
          </cell>
          <cell r="O40">
            <v>4125.6282263309422</v>
          </cell>
          <cell r="P40">
            <v>696.19976319334648</v>
          </cell>
          <cell r="Q40">
            <v>9282.6635092446213</v>
          </cell>
          <cell r="R40">
            <v>0</v>
          </cell>
          <cell r="S40">
            <v>34216.929102132257</v>
          </cell>
          <cell r="T40">
            <v>80630.246648355358</v>
          </cell>
          <cell r="U40">
            <v>6719.1872206962798</v>
          </cell>
          <cell r="V40">
            <v>46.742171970061079</v>
          </cell>
        </row>
        <row r="41">
          <cell r="C41" t="str">
            <v>AN.SUPORTE B-I</v>
          </cell>
          <cell r="E41">
            <v>3693.3237499999996</v>
          </cell>
          <cell r="F41">
            <v>3774.5220763967141</v>
          </cell>
          <cell r="G41">
            <v>45294.26491676057</v>
          </cell>
          <cell r="L41">
            <v>3774.5220763967141</v>
          </cell>
          <cell r="M41">
            <v>1258.1740254655713</v>
          </cell>
          <cell r="N41">
            <v>14594.818695400629</v>
          </cell>
          <cell r="O41">
            <v>4026.1568814898287</v>
          </cell>
          <cell r="P41">
            <v>679.41397375140855</v>
          </cell>
          <cell r="Q41">
            <v>9058.8529833521152</v>
          </cell>
          <cell r="R41">
            <v>0</v>
          </cell>
          <cell r="S41">
            <v>33391.938635856262</v>
          </cell>
          <cell r="T41">
            <v>78686.203552616833</v>
          </cell>
          <cell r="U41">
            <v>6557.1836293847364</v>
          </cell>
          <cell r="V41">
            <v>45.615190465285117</v>
          </cell>
        </row>
        <row r="42">
          <cell r="C42" t="str">
            <v>AG.OPERAC. A-IV</v>
          </cell>
          <cell r="E42">
            <v>3334.8827245862867</v>
          </cell>
          <cell r="F42">
            <v>3408.2006664444089</v>
          </cell>
          <cell r="G42">
            <v>40898.407997332906</v>
          </cell>
          <cell r="L42">
            <v>3408.2006664444089</v>
          </cell>
          <cell r="M42">
            <v>1136.066888814803</v>
          </cell>
          <cell r="N42">
            <v>13178.375910251714</v>
          </cell>
          <cell r="O42">
            <v>3635.4140442073694</v>
          </cell>
          <cell r="P42">
            <v>613.47611995999353</v>
          </cell>
          <cell r="Q42">
            <v>8179.6815994665812</v>
          </cell>
          <cell r="R42">
            <v>0</v>
          </cell>
          <cell r="S42">
            <v>30151.215229144869</v>
          </cell>
          <cell r="T42">
            <v>71049.623226477779</v>
          </cell>
          <cell r="U42">
            <v>5920.8019355398146</v>
          </cell>
          <cell r="V42">
            <v>41.188187377668278</v>
          </cell>
        </row>
        <row r="43">
          <cell r="C43" t="str">
            <v>AG.OPERAC. B-II</v>
          </cell>
          <cell r="D43" t="str">
            <v>O1e2</v>
          </cell>
          <cell r="E43">
            <v>3239.4658830845806</v>
          </cell>
          <cell r="F43">
            <v>3310.686070084359</v>
          </cell>
          <cell r="G43">
            <v>39728.232841012308</v>
          </cell>
          <cell r="H43">
            <v>0</v>
          </cell>
          <cell r="I43">
            <v>1992</v>
          </cell>
          <cell r="L43">
            <v>3476.686070084359</v>
          </cell>
          <cell r="M43">
            <v>1158.8953566947862</v>
          </cell>
          <cell r="N43">
            <v>13443.186137659523</v>
          </cell>
          <cell r="O43">
            <v>3708.4651414233167</v>
          </cell>
          <cell r="P43">
            <v>595.92349261518461</v>
          </cell>
          <cell r="Q43">
            <v>7945.6465682024618</v>
          </cell>
          <cell r="R43">
            <v>0</v>
          </cell>
          <cell r="S43">
            <v>32320.80276667963</v>
          </cell>
          <cell r="T43">
            <v>72049.035607691942</v>
          </cell>
          <cell r="U43">
            <v>6004.0863006409954</v>
          </cell>
          <cell r="V43">
            <v>41.767556874024315</v>
          </cell>
        </row>
        <row r="44">
          <cell r="C44" t="str">
            <v>EMPR EM COMISSAO</v>
          </cell>
          <cell r="E44">
            <v>2993.9708333333333</v>
          </cell>
          <cell r="F44">
            <v>3059.7937715329003</v>
          </cell>
          <cell r="G44">
            <v>36717.525258394802</v>
          </cell>
          <cell r="L44">
            <v>3059.7937715328999</v>
          </cell>
          <cell r="M44">
            <v>1019.9312571776334</v>
          </cell>
          <cell r="N44">
            <v>11831.202583260547</v>
          </cell>
          <cell r="O44">
            <v>3263.7800229684271</v>
          </cell>
          <cell r="P44">
            <v>550.76287887592207</v>
          </cell>
          <cell r="Q44">
            <v>7343.5050516789606</v>
          </cell>
          <cell r="R44">
            <v>0</v>
          </cell>
          <cell r="S44">
            <v>27068.975565494387</v>
          </cell>
          <cell r="T44">
            <v>63786.50082388919</v>
          </cell>
          <cell r="U44">
            <v>5315.5417353240991</v>
          </cell>
          <cell r="V44">
            <v>36.977681637037215</v>
          </cell>
        </row>
        <row r="45">
          <cell r="C45" t="str">
            <v>VIGIA</v>
          </cell>
          <cell r="E45">
            <v>2877.467916666667</v>
          </cell>
          <cell r="F45">
            <v>2940.7295191984172</v>
          </cell>
          <cell r="G45">
            <v>35288.754230381004</v>
          </cell>
          <cell r="L45">
            <v>2940.7295191984167</v>
          </cell>
          <cell r="M45">
            <v>980.24317306613898</v>
          </cell>
          <cell r="N45">
            <v>11370.820807567212</v>
          </cell>
          <cell r="O45">
            <v>3136.7781538116451</v>
          </cell>
          <cell r="P45">
            <v>529.33131345571508</v>
          </cell>
          <cell r="Q45">
            <v>7057.750846076201</v>
          </cell>
          <cell r="R45">
            <v>0</v>
          </cell>
          <cell r="S45">
            <v>26015.653813175326</v>
          </cell>
          <cell r="T45">
            <v>61304.40804355633</v>
          </cell>
          <cell r="U45">
            <v>5108.7006702963608</v>
          </cell>
          <cell r="V45">
            <v>35.538787271626859</v>
          </cell>
        </row>
        <row r="46">
          <cell r="C46" t="str">
            <v>TEC.OPERAC. I</v>
          </cell>
          <cell r="D46" t="str">
            <v>O3</v>
          </cell>
          <cell r="E46">
            <v>2851.9438677536236</v>
          </cell>
          <cell r="F46">
            <v>2914.6443198975676</v>
          </cell>
          <cell r="G46">
            <v>34975.731838770807</v>
          </cell>
          <cell r="H46">
            <v>0</v>
          </cell>
          <cell r="I46">
            <v>1992</v>
          </cell>
          <cell r="L46">
            <v>3080.6443198975671</v>
          </cell>
          <cell r="M46">
            <v>1026.8814399658556</v>
          </cell>
          <cell r="N46">
            <v>11911.824703603927</v>
          </cell>
          <cell r="O46">
            <v>3286.020607890739</v>
          </cell>
          <cell r="P46">
            <v>524.63597758156209</v>
          </cell>
          <cell r="Q46">
            <v>6995.1463677541615</v>
          </cell>
          <cell r="R46">
            <v>0</v>
          </cell>
          <cell r="S46">
            <v>28817.153416693811</v>
          </cell>
          <cell r="T46">
            <v>63792.885255464615</v>
          </cell>
          <cell r="U46">
            <v>5316.0737712887176</v>
          </cell>
          <cell r="V46">
            <v>36.981382756791078</v>
          </cell>
        </row>
        <row r="47">
          <cell r="C47" t="str">
            <v>AG.OPERAC. A-III</v>
          </cell>
          <cell r="D47" t="str">
            <v>O4</v>
          </cell>
          <cell r="E47">
            <v>2811.5910944206007</v>
          </cell>
          <cell r="F47">
            <v>2873.404384246292</v>
          </cell>
          <cell r="G47">
            <v>34480.852610955502</v>
          </cell>
          <cell r="H47">
            <v>0</v>
          </cell>
          <cell r="I47">
            <v>996</v>
          </cell>
          <cell r="L47">
            <v>2956.4043842462916</v>
          </cell>
          <cell r="M47">
            <v>985.46812808209722</v>
          </cell>
          <cell r="N47">
            <v>11431.430285752327</v>
          </cell>
          <cell r="O47">
            <v>3153.4980098627111</v>
          </cell>
          <cell r="P47">
            <v>517.21278916433255</v>
          </cell>
          <cell r="Q47">
            <v>6896.1705221911006</v>
          </cell>
          <cell r="R47">
            <v>0</v>
          </cell>
          <cell r="S47">
            <v>26936.184119298861</v>
          </cell>
          <cell r="T47">
            <v>61417.03673025436</v>
          </cell>
          <cell r="U47">
            <v>5118.0863941878633</v>
          </cell>
          <cell r="V47">
            <v>35.604079263915573</v>
          </cell>
        </row>
        <row r="48">
          <cell r="C48" t="str">
            <v>TEC.SEG.TRAB.I</v>
          </cell>
          <cell r="E48">
            <v>2681.06</v>
          </cell>
          <cell r="F48">
            <v>2740.0035423767481</v>
          </cell>
          <cell r="G48">
            <v>32880.042508520979</v>
          </cell>
          <cell r="L48">
            <v>2740.0035423767481</v>
          </cell>
          <cell r="M48">
            <v>913.3345141255827</v>
          </cell>
          <cell r="N48">
            <v>10594.68036385676</v>
          </cell>
          <cell r="O48">
            <v>2922.6704452018648</v>
          </cell>
          <cell r="P48">
            <v>493.20063762781467</v>
          </cell>
          <cell r="Q48">
            <v>6576.0085017041965</v>
          </cell>
          <cell r="R48">
            <v>0</v>
          </cell>
          <cell r="S48">
            <v>24239.898004892966</v>
          </cell>
          <cell r="T48">
            <v>57119.940513413945</v>
          </cell>
          <cell r="U48">
            <v>4759.9950427844951</v>
          </cell>
          <cell r="V48">
            <v>33.113008993283444</v>
          </cell>
        </row>
        <row r="49">
          <cell r="C49" t="str">
            <v>TEC.CONTAB. I</v>
          </cell>
          <cell r="E49">
            <v>2601.4783333333335</v>
          </cell>
          <cell r="F49">
            <v>2658.6722597590851</v>
          </cell>
          <cell r="G49">
            <v>31904.067117109022</v>
          </cell>
          <cell r="L49">
            <v>2658.6722597590851</v>
          </cell>
          <cell r="M49">
            <v>886.22408658636164</v>
          </cell>
          <cell r="N49">
            <v>10280.199404401796</v>
          </cell>
          <cell r="O49">
            <v>2835.9170770763576</v>
          </cell>
          <cell r="P49">
            <v>478.56100675663532</v>
          </cell>
          <cell r="Q49">
            <v>6380.8134234218051</v>
          </cell>
          <cell r="R49">
            <v>0</v>
          </cell>
          <cell r="S49">
            <v>23520.38725800204</v>
          </cell>
          <cell r="T49">
            <v>55424.454375111061</v>
          </cell>
          <cell r="U49">
            <v>4618.7045312592554</v>
          </cell>
          <cell r="V49">
            <v>32.130118478325251</v>
          </cell>
        </row>
        <row r="50">
          <cell r="C50" t="str">
            <v>AG.SUPORTE A-I</v>
          </cell>
          <cell r="E50">
            <v>2432.5096639784947</v>
          </cell>
          <cell r="F50">
            <v>2485.9887865869277</v>
          </cell>
          <cell r="G50">
            <v>29831.865439043133</v>
          </cell>
          <cell r="L50">
            <v>2485.9887865869277</v>
          </cell>
          <cell r="M50">
            <v>828.66292886230917</v>
          </cell>
          <cell r="N50">
            <v>9612.4899748027874</v>
          </cell>
          <cell r="O50">
            <v>2651.72137235939</v>
          </cell>
          <cell r="P50">
            <v>447.477981585647</v>
          </cell>
          <cell r="Q50">
            <v>5966.3730878086271</v>
          </cell>
          <cell r="R50">
            <v>0</v>
          </cell>
          <cell r="S50">
            <v>21992.714132005691</v>
          </cell>
          <cell r="T50">
            <v>51824.579571048824</v>
          </cell>
          <cell r="U50">
            <v>4318.7149642540689</v>
          </cell>
          <cell r="V50">
            <v>30.043234533941348</v>
          </cell>
        </row>
        <row r="51">
          <cell r="C51" t="str">
            <v>AG.OPERAC. A-II</v>
          </cell>
          <cell r="E51">
            <v>1996.8821264367816</v>
          </cell>
          <cell r="F51">
            <v>2040.7839064196978</v>
          </cell>
          <cell r="G51">
            <v>24489.406877036374</v>
          </cell>
          <cell r="L51">
            <v>2040.7839064196978</v>
          </cell>
          <cell r="M51">
            <v>680.26130213989927</v>
          </cell>
          <cell r="N51">
            <v>7891.0311048228314</v>
          </cell>
          <cell r="O51">
            <v>2176.8361668476778</v>
          </cell>
          <cell r="P51">
            <v>367.34110315554557</v>
          </cell>
          <cell r="Q51">
            <v>4897.8813754072753</v>
          </cell>
          <cell r="R51">
            <v>0</v>
          </cell>
          <cell r="S51">
            <v>18054.134958792929</v>
          </cell>
          <cell r="T51">
            <v>42543.541835829303</v>
          </cell>
          <cell r="U51">
            <v>3545.2951529857751</v>
          </cell>
          <cell r="V51">
            <v>24.662922803379306</v>
          </cell>
        </row>
        <row r="52">
          <cell r="C52" t="str">
            <v>AG.OPERAC. A-II E</v>
          </cell>
          <cell r="E52">
            <v>1996.8821264367816</v>
          </cell>
          <cell r="F52">
            <v>2040.7839064196978</v>
          </cell>
          <cell r="G52">
            <v>24489.406877036374</v>
          </cell>
          <cell r="L52">
            <v>2040.7839064196978</v>
          </cell>
          <cell r="M52">
            <v>680.26130213989927</v>
          </cell>
          <cell r="N52">
            <v>7891.0311048228314</v>
          </cell>
          <cell r="O52">
            <v>2176.8361668476778</v>
          </cell>
          <cell r="P52">
            <v>367.34110315554557</v>
          </cell>
          <cell r="Q52">
            <v>4897.8813754072753</v>
          </cell>
          <cell r="R52">
            <v>0</v>
          </cell>
          <cell r="S52">
            <v>18054.134958792929</v>
          </cell>
          <cell r="T52">
            <v>42543.541835829303</v>
          </cell>
          <cell r="U52">
            <v>3545.2951529857751</v>
          </cell>
          <cell r="V52">
            <v>24.662922803379306</v>
          </cell>
        </row>
        <row r="53">
          <cell r="C53" t="str">
            <v>AG.OPERAC. A-II A</v>
          </cell>
          <cell r="E53">
            <v>1996.8821264367816</v>
          </cell>
          <cell r="F53">
            <v>2040.7839064196978</v>
          </cell>
          <cell r="G53">
            <v>24489.406877036374</v>
          </cell>
          <cell r="L53">
            <v>2040.7839064196978</v>
          </cell>
          <cell r="M53">
            <v>680.26130213989927</v>
          </cell>
          <cell r="N53">
            <v>7891.0311048228314</v>
          </cell>
          <cell r="O53">
            <v>2176.8361668476778</v>
          </cell>
          <cell r="P53">
            <v>367.34110315554557</v>
          </cell>
          <cell r="Q53">
            <v>4897.8813754072753</v>
          </cell>
          <cell r="R53">
            <v>0</v>
          </cell>
          <cell r="S53">
            <v>18054.134958792929</v>
          </cell>
          <cell r="T53">
            <v>42543.541835829303</v>
          </cell>
          <cell r="U53">
            <v>3545.2951529857751</v>
          </cell>
          <cell r="V53">
            <v>24.662922803379306</v>
          </cell>
        </row>
        <row r="54">
          <cell r="C54" t="str">
            <v>AG.OPERAC. B-I</v>
          </cell>
          <cell r="E54">
            <v>1911.4824629629629</v>
          </cell>
          <cell r="F54">
            <v>1953.5067173840009</v>
          </cell>
          <cell r="G54">
            <v>23442.080608608012</v>
          </cell>
          <cell r="L54">
            <v>1953.5067173840009</v>
          </cell>
          <cell r="M54">
            <v>651.16890579466701</v>
          </cell>
          <cell r="N54">
            <v>7553.5593072181364</v>
          </cell>
          <cell r="O54">
            <v>2083.7404985429343</v>
          </cell>
          <cell r="P54">
            <v>351.63120912912018</v>
          </cell>
          <cell r="Q54">
            <v>4688.4161217216024</v>
          </cell>
          <cell r="R54">
            <v>0</v>
          </cell>
          <cell r="S54">
            <v>17282.02275979046</v>
          </cell>
          <cell r="T54">
            <v>40724.103368398472</v>
          </cell>
          <cell r="U54">
            <v>3393.6752806998725</v>
          </cell>
          <cell r="V54">
            <v>23.608175865738243</v>
          </cell>
        </row>
        <row r="55">
          <cell r="C55" t="str">
            <v>AG.SUPORTE B-I</v>
          </cell>
          <cell r="E55">
            <v>1590.1994937694701</v>
          </cell>
          <cell r="F55">
            <v>1625.1602895921985</v>
          </cell>
          <cell r="G55">
            <v>19501.923475106381</v>
          </cell>
          <cell r="L55">
            <v>1625.1602895921983</v>
          </cell>
          <cell r="M55">
            <v>541.7200965307328</v>
          </cell>
          <cell r="N55">
            <v>6283.9531197564993</v>
          </cell>
          <cell r="O55">
            <v>1733.5043088983448</v>
          </cell>
          <cell r="P55">
            <v>292.52885212659572</v>
          </cell>
          <cell r="Q55">
            <v>3900.3846950212765</v>
          </cell>
          <cell r="R55">
            <v>0</v>
          </cell>
          <cell r="S55">
            <v>14377.25136192565</v>
          </cell>
          <cell r="T55">
            <v>33879.174837032027</v>
          </cell>
          <cell r="U55">
            <v>2823.2645697526691</v>
          </cell>
          <cell r="V55">
            <v>19.640101354801175</v>
          </cell>
        </row>
        <row r="56">
          <cell r="C56" t="str">
            <v>AG.OPERAC. A-I</v>
          </cell>
          <cell r="D56" t="str">
            <v>O5</v>
          </cell>
          <cell r="E56">
            <v>1409.3978961748628</v>
          </cell>
          <cell r="F56">
            <v>1440.3837393185756</v>
          </cell>
          <cell r="G56">
            <v>17284.604871822907</v>
          </cell>
          <cell r="H56">
            <v>0</v>
          </cell>
          <cell r="I56">
            <v>1992</v>
          </cell>
          <cell r="L56">
            <v>1606.3837393185754</v>
          </cell>
          <cell r="M56">
            <v>535.46124643952521</v>
          </cell>
          <cell r="N56">
            <v>6211.3504586984918</v>
          </cell>
          <cell r="O56">
            <v>1713.4759886064805</v>
          </cell>
          <cell r="P56">
            <v>259.26907307734359</v>
          </cell>
          <cell r="Q56">
            <v>3456.9209743645815</v>
          </cell>
          <cell r="R56">
            <v>0</v>
          </cell>
          <cell r="S56">
            <v>15774.861480504998</v>
          </cell>
          <cell r="T56">
            <v>33059.466352327901</v>
          </cell>
          <cell r="U56">
            <v>2754.9555293606586</v>
          </cell>
          <cell r="V56">
            <v>19.164908030335017</v>
          </cell>
        </row>
        <row r="57"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0</v>
          </cell>
          <cell r="G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F59">
            <v>0</v>
          </cell>
          <cell r="G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F60">
            <v>0</v>
          </cell>
          <cell r="G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</sheetData>
      <sheetData sheetId="3">
        <row r="11">
          <cell r="B11" t="str">
            <v>EQ1</v>
          </cell>
          <cell r="C11" t="str">
            <v>Quantidade</v>
          </cell>
          <cell r="F11">
            <v>1</v>
          </cell>
          <cell r="K11">
            <v>36.981382756791078</v>
          </cell>
          <cell r="L11">
            <v>0.08</v>
          </cell>
          <cell r="M11">
            <v>2.9585106205432861</v>
          </cell>
          <cell r="N11">
            <v>39.939893377334364</v>
          </cell>
          <cell r="P11">
            <v>1</v>
          </cell>
          <cell r="AD11">
            <v>4.5877525252525251</v>
          </cell>
          <cell r="AT11">
            <v>0</v>
          </cell>
          <cell r="AV11">
            <v>44.52764590258689</v>
          </cell>
        </row>
        <row r="12">
          <cell r="C12" t="str">
            <v>Custo Total (R$/Hora)</v>
          </cell>
          <cell r="D12"/>
          <cell r="E12"/>
          <cell r="F12">
            <v>36.981382756791078</v>
          </cell>
          <cell r="G12"/>
          <cell r="H12"/>
          <cell r="I12"/>
          <cell r="J12"/>
          <cell r="O12"/>
          <cell r="P12">
            <v>4.5877525252525251</v>
          </cell>
          <cell r="Q12"/>
          <cell r="R12"/>
          <cell r="S12"/>
          <cell r="T12"/>
          <cell r="U12"/>
          <cell r="V12"/>
          <cell r="W12"/>
          <cell r="X12"/>
          <cell r="Y12"/>
          <cell r="AB12"/>
          <cell r="AC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</row>
        <row r="13">
          <cell r="B13" t="str">
            <v>EQ2</v>
          </cell>
          <cell r="C13" t="str">
            <v>Quantidade</v>
          </cell>
          <cell r="G13">
            <v>1</v>
          </cell>
          <cell r="K13">
            <v>35.604079263915573</v>
          </cell>
          <cell r="L13">
            <v>0.08</v>
          </cell>
          <cell r="M13">
            <v>2.8483263411132458</v>
          </cell>
          <cell r="N13">
            <v>38.452405605028815</v>
          </cell>
          <cell r="P13">
            <v>1</v>
          </cell>
          <cell r="AD13">
            <v>4.5877525252525251</v>
          </cell>
          <cell r="AT13">
            <v>0</v>
          </cell>
          <cell r="AV13">
            <v>43.040158130281341</v>
          </cell>
        </row>
        <row r="14">
          <cell r="C14" t="str">
            <v>Custo Total (R$/Hora)</v>
          </cell>
          <cell r="D14"/>
          <cell r="E14"/>
          <cell r="F14"/>
          <cell r="G14">
            <v>35.604079263915573</v>
          </cell>
          <cell r="H14"/>
          <cell r="I14"/>
          <cell r="J14"/>
          <cell r="O14"/>
          <cell r="P14">
            <v>4.5877525252525251</v>
          </cell>
          <cell r="Q14"/>
          <cell r="R14"/>
          <cell r="S14"/>
          <cell r="T14"/>
          <cell r="U14"/>
          <cell r="V14"/>
          <cell r="W14"/>
          <cell r="X14"/>
          <cell r="Y14"/>
          <cell r="AB14"/>
          <cell r="AC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</row>
        <row r="15">
          <cell r="B15" t="str">
            <v>EQ2_T</v>
          </cell>
          <cell r="C15" t="str">
            <v>Quantidade</v>
          </cell>
          <cell r="G15">
            <v>1</v>
          </cell>
          <cell r="K15">
            <v>44.505099079894464</v>
          </cell>
          <cell r="L15">
            <v>0.08</v>
          </cell>
          <cell r="M15">
            <v>3.5604079263915573</v>
          </cell>
          <cell r="N15">
            <v>48.065507006286019</v>
          </cell>
          <cell r="P15">
            <v>1</v>
          </cell>
          <cell r="AD15">
            <v>4.5877525252525251</v>
          </cell>
          <cell r="AT15">
            <v>0</v>
          </cell>
          <cell r="AV15">
            <v>52.653259531538545</v>
          </cell>
        </row>
        <row r="16">
          <cell r="C16" t="str">
            <v>Custo Total (R$/Hora)</v>
          </cell>
          <cell r="D16"/>
          <cell r="E16"/>
          <cell r="F16"/>
          <cell r="G16">
            <v>44.505099079894464</v>
          </cell>
          <cell r="H16"/>
          <cell r="I16"/>
          <cell r="J16"/>
          <cell r="O16"/>
          <cell r="P16">
            <v>4.5877525252525251</v>
          </cell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</row>
        <row r="17">
          <cell r="B17" t="str">
            <v>EQ3</v>
          </cell>
          <cell r="C17" t="str">
            <v>Quantidade</v>
          </cell>
          <cell r="F17">
            <v>2</v>
          </cell>
          <cell r="H17">
            <v>1</v>
          </cell>
          <cell r="K17">
            <v>93.127673543917169</v>
          </cell>
          <cell r="L17">
            <v>0.08</v>
          </cell>
          <cell r="M17">
            <v>7.4502138835133733</v>
          </cell>
          <cell r="N17">
            <v>100.57788742743054</v>
          </cell>
          <cell r="Q17">
            <v>1</v>
          </cell>
          <cell r="AD17">
            <v>5.955303030303031</v>
          </cell>
          <cell r="AT17">
            <v>0</v>
          </cell>
          <cell r="AV17">
            <v>106.53319045773357</v>
          </cell>
        </row>
        <row r="18">
          <cell r="C18" t="str">
            <v>Custo Total (R$/Hora)</v>
          </cell>
          <cell r="D18"/>
          <cell r="E18"/>
          <cell r="F18">
            <v>73.962765513582156</v>
          </cell>
          <cell r="G18"/>
          <cell r="H18">
            <v>19.164908030335017</v>
          </cell>
          <cell r="I18"/>
          <cell r="J18"/>
          <cell r="O18"/>
          <cell r="P18"/>
          <cell r="Q18">
            <v>5.955303030303031</v>
          </cell>
          <cell r="R18"/>
          <cell r="S18"/>
          <cell r="T18"/>
          <cell r="U18"/>
          <cell r="V18"/>
          <cell r="W18"/>
          <cell r="X18"/>
          <cell r="Y18"/>
          <cell r="AB18"/>
          <cell r="AC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</row>
        <row r="19">
          <cell r="B19" t="str">
            <v>EQ3_T</v>
          </cell>
          <cell r="C19" t="str">
            <v>Quantidade</v>
          </cell>
          <cell r="F19">
            <v>2</v>
          </cell>
          <cell r="H19">
            <v>1</v>
          </cell>
          <cell r="K19">
            <v>116.40959192989648</v>
          </cell>
          <cell r="L19">
            <v>0.08</v>
          </cell>
          <cell r="M19">
            <v>9.3127673543917187</v>
          </cell>
          <cell r="N19">
            <v>125.7223592842882</v>
          </cell>
          <cell r="Q19">
            <v>1</v>
          </cell>
          <cell r="AD19">
            <v>5.955303030303031</v>
          </cell>
          <cell r="AT19">
            <v>0</v>
          </cell>
          <cell r="AV19">
            <v>131.67766231459123</v>
          </cell>
        </row>
        <row r="20">
          <cell r="C20" t="str">
            <v>Custo Total (R$/Hora)</v>
          </cell>
          <cell r="D20"/>
          <cell r="E20"/>
          <cell r="F20">
            <v>92.453456891977709</v>
          </cell>
          <cell r="G20"/>
          <cell r="H20">
            <v>23.95613503791877</v>
          </cell>
          <cell r="I20"/>
          <cell r="J20"/>
          <cell r="O20"/>
          <cell r="P20"/>
          <cell r="Q20">
            <v>5.955303030303031</v>
          </cell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</row>
        <row r="21">
          <cell r="B21" t="str">
            <v>EQ4</v>
          </cell>
          <cell r="C21" t="str">
            <v>Quantidade</v>
          </cell>
          <cell r="G21">
            <v>2</v>
          </cell>
          <cell r="H21">
            <v>1</v>
          </cell>
          <cell r="K21">
            <v>90.373066558166158</v>
          </cell>
          <cell r="L21">
            <v>0.08</v>
          </cell>
          <cell r="M21">
            <v>7.2298453246532928</v>
          </cell>
          <cell r="N21">
            <v>97.602911882819456</v>
          </cell>
          <cell r="Q21">
            <v>1</v>
          </cell>
          <cell r="AD21">
            <v>5.955303030303031</v>
          </cell>
          <cell r="AT21">
            <v>0</v>
          </cell>
          <cell r="AV21">
            <v>103.55821491312248</v>
          </cell>
        </row>
        <row r="22">
          <cell r="C22" t="str">
            <v>Custo Total (R$/Hora)</v>
          </cell>
          <cell r="D22"/>
          <cell r="E22"/>
          <cell r="F22"/>
          <cell r="G22">
            <v>71.208158527831145</v>
          </cell>
          <cell r="H22">
            <v>19.164908030335017</v>
          </cell>
          <cell r="I22"/>
          <cell r="J22"/>
          <cell r="O22"/>
          <cell r="P22"/>
          <cell r="Q22">
            <v>5.955303030303031</v>
          </cell>
          <cell r="R22"/>
          <cell r="S22"/>
          <cell r="T22"/>
          <cell r="U22"/>
          <cell r="V22"/>
          <cell r="W22"/>
          <cell r="X22"/>
          <cell r="Y22"/>
          <cell r="AB22"/>
          <cell r="AC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</row>
        <row r="23">
          <cell r="B23" t="str">
            <v>EQ4_T</v>
          </cell>
          <cell r="C23" t="str">
            <v>Quantidade</v>
          </cell>
          <cell r="G23">
            <v>2</v>
          </cell>
          <cell r="H23">
            <v>1</v>
          </cell>
          <cell r="K23">
            <v>112.9663331977077</v>
          </cell>
          <cell r="L23">
            <v>0.08</v>
          </cell>
          <cell r="M23">
            <v>9.0373066558166162</v>
          </cell>
          <cell r="N23">
            <v>122.00363985352432</v>
          </cell>
          <cell r="Q23">
            <v>1</v>
          </cell>
          <cell r="AD23">
            <v>5.955303030303031</v>
          </cell>
          <cell r="AT23">
            <v>0</v>
          </cell>
          <cell r="AV23">
            <v>127.95894288382735</v>
          </cell>
        </row>
        <row r="24">
          <cell r="C24" t="str">
            <v>Custo Total (R$/Hora)</v>
          </cell>
          <cell r="D24"/>
          <cell r="E24"/>
          <cell r="F24"/>
          <cell r="G24">
            <v>89.010198159788928</v>
          </cell>
          <cell r="H24">
            <v>23.95613503791877</v>
          </cell>
          <cell r="I24"/>
          <cell r="J24"/>
          <cell r="O24"/>
          <cell r="P24"/>
          <cell r="Q24">
            <v>5.955303030303031</v>
          </cell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</row>
        <row r="25">
          <cell r="B25" t="str">
            <v>EQ5</v>
          </cell>
          <cell r="C25" t="str">
            <v>Quantidade</v>
          </cell>
          <cell r="F25">
            <v>3</v>
          </cell>
          <cell r="H25">
            <v>1</v>
          </cell>
          <cell r="K25">
            <v>130.10905630070826</v>
          </cell>
          <cell r="L25">
            <v>0.08</v>
          </cell>
          <cell r="M25">
            <v>10.408724504056661</v>
          </cell>
          <cell r="N25">
            <v>140.51778080476493</v>
          </cell>
          <cell r="R25">
            <v>1</v>
          </cell>
          <cell r="AD25">
            <v>6.7662878787878791</v>
          </cell>
          <cell r="AT25">
            <v>0</v>
          </cell>
          <cell r="AV25">
            <v>147.28406868355282</v>
          </cell>
        </row>
        <row r="26">
          <cell r="C26" t="str">
            <v>Custo Total (R$/Hora)</v>
          </cell>
          <cell r="D26"/>
          <cell r="E26"/>
          <cell r="F26">
            <v>110.94414827037323</v>
          </cell>
          <cell r="G26"/>
          <cell r="H26">
            <v>19.164908030335017</v>
          </cell>
          <cell r="I26"/>
          <cell r="J26"/>
          <cell r="O26"/>
          <cell r="P26"/>
          <cell r="Q26"/>
          <cell r="R26">
            <v>6.7662878787878791</v>
          </cell>
          <cell r="S26"/>
          <cell r="T26"/>
          <cell r="U26"/>
          <cell r="V26"/>
          <cell r="W26"/>
          <cell r="X26"/>
          <cell r="Y26"/>
          <cell r="AB26"/>
          <cell r="AC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</row>
        <row r="27">
          <cell r="B27" t="str">
            <v>EQ6</v>
          </cell>
          <cell r="C27" t="str">
            <v>Quantidade</v>
          </cell>
          <cell r="G27">
            <v>3</v>
          </cell>
          <cell r="H27">
            <v>1</v>
          </cell>
          <cell r="K27">
            <v>125.97714582208174</v>
          </cell>
          <cell r="L27">
            <v>0.08</v>
          </cell>
          <cell r="M27">
            <v>10.07817166576654</v>
          </cell>
          <cell r="N27">
            <v>136.05531748784827</v>
          </cell>
          <cell r="R27">
            <v>1</v>
          </cell>
          <cell r="AD27">
            <v>6.7662878787878791</v>
          </cell>
          <cell r="AT27">
            <v>0</v>
          </cell>
          <cell r="AV27">
            <v>142.82160536663616</v>
          </cell>
        </row>
        <row r="28">
          <cell r="C28" t="str">
            <v>Custo Total (R$/Hora)</v>
          </cell>
          <cell r="D28"/>
          <cell r="E28"/>
          <cell r="F28"/>
          <cell r="G28">
            <v>106.81223779174672</v>
          </cell>
          <cell r="H28">
            <v>19.164908030335017</v>
          </cell>
          <cell r="I28"/>
          <cell r="J28"/>
          <cell r="O28"/>
          <cell r="P28"/>
          <cell r="Q28"/>
          <cell r="R28">
            <v>6.7662878787878791</v>
          </cell>
          <cell r="S28"/>
          <cell r="T28"/>
          <cell r="U28"/>
          <cell r="V28"/>
          <cell r="W28"/>
          <cell r="X28"/>
          <cell r="Y28"/>
          <cell r="AB28"/>
          <cell r="AC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</row>
        <row r="29">
          <cell r="B29" t="str">
            <v>EQ7</v>
          </cell>
          <cell r="C29" t="str">
            <v>Quantidade</v>
          </cell>
          <cell r="D29">
            <v>1</v>
          </cell>
          <cell r="H29">
            <v>1</v>
          </cell>
          <cell r="K29">
            <v>60.932464904359335</v>
          </cell>
          <cell r="L29">
            <v>0.08</v>
          </cell>
          <cell r="M29">
            <v>4.8745971923487472</v>
          </cell>
          <cell r="N29">
            <v>65.80706209670808</v>
          </cell>
          <cell r="P29">
            <v>1</v>
          </cell>
          <cell r="AD29">
            <v>4.5877525252525251</v>
          </cell>
          <cell r="AF29">
            <v>1</v>
          </cell>
          <cell r="AT29">
            <v>2.6654589371980677</v>
          </cell>
          <cell r="AV29">
            <v>73.060273559158674</v>
          </cell>
        </row>
        <row r="30">
          <cell r="C30" t="str">
            <v>Custo Total (R$/Hora)</v>
          </cell>
          <cell r="D30">
            <v>41.767556874024315</v>
          </cell>
          <cell r="E30"/>
          <cell r="F30"/>
          <cell r="G30"/>
          <cell r="H30">
            <v>19.164908030335017</v>
          </cell>
          <cell r="I30"/>
          <cell r="J30"/>
          <cell r="O30"/>
          <cell r="P30">
            <v>4.5877525252525251</v>
          </cell>
          <cell r="Q30"/>
          <cell r="R30"/>
          <cell r="S30"/>
          <cell r="T30"/>
          <cell r="U30"/>
          <cell r="V30"/>
          <cell r="W30"/>
          <cell r="X30"/>
          <cell r="Y30"/>
          <cell r="AB30"/>
          <cell r="AC30"/>
          <cell r="AE30"/>
          <cell r="AF30">
            <v>2.6654589371980677</v>
          </cell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</row>
        <row r="31">
          <cell r="B31" t="str">
            <v>EQ7_T</v>
          </cell>
          <cell r="C31" t="str">
            <v>Quantidade</v>
          </cell>
          <cell r="D31">
            <v>1</v>
          </cell>
          <cell r="H31">
            <v>1</v>
          </cell>
          <cell r="K31">
            <v>76.165581130449169</v>
          </cell>
          <cell r="L31">
            <v>0.08</v>
          </cell>
          <cell r="M31">
            <v>6.0932464904359334</v>
          </cell>
          <cell r="N31">
            <v>82.2588276208851</v>
          </cell>
          <cell r="P31">
            <v>1</v>
          </cell>
          <cell r="AD31">
            <v>4.5877525252525251</v>
          </cell>
          <cell r="AF31">
            <v>1</v>
          </cell>
          <cell r="AT31">
            <v>2.6654589371980677</v>
          </cell>
          <cell r="AV31">
            <v>89.512039083335694</v>
          </cell>
        </row>
        <row r="32">
          <cell r="C32" t="str">
            <v>Custo Total (R$/Hora)</v>
          </cell>
          <cell r="D32">
            <v>52.209446092530392</v>
          </cell>
          <cell r="E32"/>
          <cell r="F32"/>
          <cell r="G32"/>
          <cell r="H32">
            <v>23.95613503791877</v>
          </cell>
          <cell r="I32"/>
          <cell r="J32"/>
          <cell r="O32"/>
          <cell r="P32">
            <v>4.5877525252525251</v>
          </cell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E32"/>
          <cell r="AF32">
            <v>2.6654589371980677</v>
          </cell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</row>
        <row r="33">
          <cell r="B33" t="str">
            <v>EQ8</v>
          </cell>
          <cell r="C33" t="str">
            <v>Quantidade</v>
          </cell>
          <cell r="E33">
            <v>1</v>
          </cell>
          <cell r="H33">
            <v>1</v>
          </cell>
          <cell r="K33">
            <v>60.932464904359335</v>
          </cell>
          <cell r="L33">
            <v>0.08</v>
          </cell>
          <cell r="M33">
            <v>4.8745971923487472</v>
          </cell>
          <cell r="N33">
            <v>65.80706209670808</v>
          </cell>
          <cell r="P33">
            <v>1</v>
          </cell>
          <cell r="AD33">
            <v>4.5877525252525251</v>
          </cell>
          <cell r="AF33">
            <v>1</v>
          </cell>
          <cell r="AT33">
            <v>2.6654589371980677</v>
          </cell>
          <cell r="AV33">
            <v>73.060273559158674</v>
          </cell>
        </row>
        <row r="34">
          <cell r="C34" t="str">
            <v>Custo Total (R$/Hora)</v>
          </cell>
          <cell r="D34"/>
          <cell r="E34">
            <v>41.767556874024315</v>
          </cell>
          <cell r="F34"/>
          <cell r="G34"/>
          <cell r="H34">
            <v>19.164908030335017</v>
          </cell>
          <cell r="I34"/>
          <cell r="J34"/>
          <cell r="O34"/>
          <cell r="P34">
            <v>4.5877525252525251</v>
          </cell>
          <cell r="Q34"/>
          <cell r="R34"/>
          <cell r="S34"/>
          <cell r="T34"/>
          <cell r="U34"/>
          <cell r="V34"/>
          <cell r="W34"/>
          <cell r="X34"/>
          <cell r="Y34"/>
          <cell r="AB34"/>
          <cell r="AC34"/>
          <cell r="AE34"/>
          <cell r="AF34">
            <v>2.6654589371980677</v>
          </cell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</row>
        <row r="35">
          <cell r="B35" t="str">
            <v>EQ8_T</v>
          </cell>
          <cell r="C35" t="str">
            <v>Quantidade</v>
          </cell>
          <cell r="E35">
            <v>1</v>
          </cell>
          <cell r="H35">
            <v>1</v>
          </cell>
          <cell r="K35">
            <v>76.165581130449169</v>
          </cell>
          <cell r="L35">
            <v>0.08</v>
          </cell>
          <cell r="M35">
            <v>6.0932464904359334</v>
          </cell>
          <cell r="N35">
            <v>82.2588276208851</v>
          </cell>
          <cell r="P35">
            <v>1</v>
          </cell>
          <cell r="AD35">
            <v>4.5877525252525251</v>
          </cell>
          <cell r="AF35">
            <v>1</v>
          </cell>
          <cell r="AT35">
            <v>2.6654589371980677</v>
          </cell>
          <cell r="AV35">
            <v>89.512039083335694</v>
          </cell>
        </row>
        <row r="36">
          <cell r="C36" t="str">
            <v>Custo Total (R$/Hora)</v>
          </cell>
          <cell r="D36"/>
          <cell r="E36">
            <v>52.209446092530392</v>
          </cell>
          <cell r="F36"/>
          <cell r="G36"/>
          <cell r="H36">
            <v>23.95613503791877</v>
          </cell>
          <cell r="I36"/>
          <cell r="J36"/>
          <cell r="O36"/>
          <cell r="P36">
            <v>4.5877525252525251</v>
          </cell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E36"/>
          <cell r="AF36">
            <v>2.6654589371980677</v>
          </cell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</row>
        <row r="37">
          <cell r="B37" t="str">
            <v>EQ9</v>
          </cell>
          <cell r="C37" t="str">
            <v>Quantidade</v>
          </cell>
          <cell r="D37">
            <v>1</v>
          </cell>
          <cell r="H37">
            <v>1</v>
          </cell>
          <cell r="K37">
            <v>60.932464904359335</v>
          </cell>
          <cell r="L37">
            <v>0.08</v>
          </cell>
          <cell r="M37">
            <v>4.8745971923487472</v>
          </cell>
          <cell r="N37">
            <v>65.80706209670808</v>
          </cell>
          <cell r="Q37">
            <v>1</v>
          </cell>
          <cell r="AD37">
            <v>5.955303030303031</v>
          </cell>
          <cell r="AT37">
            <v>0</v>
          </cell>
          <cell r="AV37">
            <v>71.762365127011108</v>
          </cell>
        </row>
        <row r="38">
          <cell r="C38" t="str">
            <v>Custo Total (R$/Hora)</v>
          </cell>
          <cell r="D38">
            <v>41.767556874024315</v>
          </cell>
          <cell r="E38"/>
          <cell r="F38"/>
          <cell r="G38"/>
          <cell r="H38">
            <v>19.164908030335017</v>
          </cell>
          <cell r="I38"/>
          <cell r="J38"/>
          <cell r="O38"/>
          <cell r="P38"/>
          <cell r="Q38">
            <v>5.955303030303031</v>
          </cell>
          <cell r="R38"/>
          <cell r="S38"/>
          <cell r="T38"/>
          <cell r="U38"/>
          <cell r="V38"/>
          <cell r="W38"/>
          <cell r="X38"/>
          <cell r="Y38"/>
          <cell r="AB38"/>
          <cell r="AC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</row>
        <row r="39">
          <cell r="B39" t="str">
            <v>EQ10</v>
          </cell>
          <cell r="C39" t="str">
            <v>Quantidade</v>
          </cell>
          <cell r="E39">
            <v>1</v>
          </cell>
          <cell r="H39">
            <v>1</v>
          </cell>
          <cell r="K39">
            <v>60.932464904359335</v>
          </cell>
          <cell r="L39">
            <v>0.08</v>
          </cell>
          <cell r="M39">
            <v>4.8745971923487472</v>
          </cell>
          <cell r="N39">
            <v>65.80706209670808</v>
          </cell>
          <cell r="Q39">
            <v>1</v>
          </cell>
          <cell r="AD39">
            <v>5.955303030303031</v>
          </cell>
          <cell r="AT39">
            <v>0</v>
          </cell>
          <cell r="AV39">
            <v>71.762365127011108</v>
          </cell>
        </row>
        <row r="40">
          <cell r="C40" t="str">
            <v>Custo Total (R$/Hora)</v>
          </cell>
          <cell r="D40"/>
          <cell r="E40">
            <v>41.767556874024315</v>
          </cell>
          <cell r="F40"/>
          <cell r="G40"/>
          <cell r="H40">
            <v>19.164908030335017</v>
          </cell>
          <cell r="I40"/>
          <cell r="J40"/>
          <cell r="O40"/>
          <cell r="P40"/>
          <cell r="Q40">
            <v>5.955303030303031</v>
          </cell>
          <cell r="R40"/>
          <cell r="S40"/>
          <cell r="T40"/>
          <cell r="U40"/>
          <cell r="V40"/>
          <cell r="W40"/>
          <cell r="X40"/>
          <cell r="Y40"/>
          <cell r="AB40"/>
          <cell r="AC40"/>
          <cell r="AE40"/>
          <cell r="AF40"/>
          <cell r="AG40"/>
          <cell r="AH40"/>
          <cell r="AI40"/>
          <cell r="AJ40"/>
          <cell r="AK40"/>
          <cell r="AL40"/>
          <cell r="AM40"/>
          <cell r="AN40"/>
          <cell r="AO40"/>
          <cell r="AP40"/>
          <cell r="AQ40"/>
          <cell r="AR40"/>
          <cell r="AS40"/>
        </row>
        <row r="41">
          <cell r="B41" t="str">
            <v>EQ11</v>
          </cell>
          <cell r="C41" t="str">
            <v>Quantidade</v>
          </cell>
          <cell r="D41">
            <v>1</v>
          </cell>
          <cell r="F41">
            <v>1</v>
          </cell>
          <cell r="H41">
            <v>1</v>
          </cell>
          <cell r="K41">
            <v>97.913847661150399</v>
          </cell>
          <cell r="L41">
            <v>0.08</v>
          </cell>
          <cell r="M41">
            <v>7.833107812892032</v>
          </cell>
          <cell r="N41">
            <v>105.74695547404244</v>
          </cell>
          <cell r="AD41">
            <v>0</v>
          </cell>
          <cell r="AT41">
            <v>0</v>
          </cell>
          <cell r="AV41">
            <v>105.74695547404244</v>
          </cell>
        </row>
        <row r="42">
          <cell r="C42" t="str">
            <v>Custo Total (R$/Hora)</v>
          </cell>
          <cell r="D42">
            <v>41.767556874024315</v>
          </cell>
          <cell r="E42"/>
          <cell r="F42">
            <v>36.981382756791078</v>
          </cell>
          <cell r="G42"/>
          <cell r="H42">
            <v>19.164908030335017</v>
          </cell>
          <cell r="I42"/>
          <cell r="J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AB42"/>
          <cell r="AC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/>
          <cell r="AS42"/>
        </row>
        <row r="43">
          <cell r="B43" t="str">
            <v>EQ12</v>
          </cell>
          <cell r="C43" t="str">
            <v>Quantidade</v>
          </cell>
          <cell r="E43">
            <v>1</v>
          </cell>
          <cell r="G43">
            <v>1</v>
          </cell>
          <cell r="H43">
            <v>1</v>
          </cell>
          <cell r="K43">
            <v>96.536544168274901</v>
          </cell>
          <cell r="L43">
            <v>0.08</v>
          </cell>
          <cell r="M43">
            <v>7.7229235334619926</v>
          </cell>
          <cell r="N43">
            <v>104.2594677017369</v>
          </cell>
          <cell r="AD43">
            <v>0</v>
          </cell>
          <cell r="AT43">
            <v>0</v>
          </cell>
          <cell r="AV43">
            <v>104.2594677017369</v>
          </cell>
        </row>
        <row r="44">
          <cell r="C44" t="str">
            <v>Custo Total (R$/Hora)</v>
          </cell>
          <cell r="D44"/>
          <cell r="E44">
            <v>41.767556874024315</v>
          </cell>
          <cell r="F44"/>
          <cell r="G44">
            <v>35.604079263915573</v>
          </cell>
          <cell r="H44">
            <v>19.164908030335017</v>
          </cell>
          <cell r="I44"/>
          <cell r="J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AB44"/>
          <cell r="AC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/>
          <cell r="AS44"/>
        </row>
        <row r="45">
          <cell r="B45" t="str">
            <v>EQ13</v>
          </cell>
          <cell r="C45" t="str">
            <v>Quantidade</v>
          </cell>
          <cell r="D45">
            <v>2</v>
          </cell>
          <cell r="F45">
            <v>4</v>
          </cell>
          <cell r="H45">
            <v>2</v>
          </cell>
          <cell r="K45">
            <v>269.79046083588298</v>
          </cell>
          <cell r="L45">
            <v>0.08</v>
          </cell>
          <cell r="M45">
            <v>21.583236866870639</v>
          </cell>
          <cell r="N45">
            <v>291.37369770275365</v>
          </cell>
          <cell r="P45">
            <v>2</v>
          </cell>
          <cell r="T45">
            <v>1</v>
          </cell>
          <cell r="AD45">
            <v>30.660353535353536</v>
          </cell>
          <cell r="AI45">
            <v>1</v>
          </cell>
          <cell r="AJ45">
            <v>1</v>
          </cell>
          <cell r="AK45">
            <v>1</v>
          </cell>
          <cell r="AN45">
            <v>1</v>
          </cell>
          <cell r="AO45">
            <v>1</v>
          </cell>
          <cell r="AT45">
            <v>106.31546442687747</v>
          </cell>
          <cell r="AV45">
            <v>428.34951566498466</v>
          </cell>
        </row>
        <row r="46">
          <cell r="C46" t="str">
            <v>Custo Total (R$/Hora)</v>
          </cell>
          <cell r="D46">
            <v>83.53511374804863</v>
          </cell>
          <cell r="E46"/>
          <cell r="F46">
            <v>147.92553102716431</v>
          </cell>
          <cell r="G46"/>
          <cell r="H46">
            <v>38.329816060670034</v>
          </cell>
          <cell r="I46"/>
          <cell r="J46"/>
          <cell r="O46"/>
          <cell r="P46">
            <v>9.1755050505050502</v>
          </cell>
          <cell r="Q46"/>
          <cell r="R46"/>
          <cell r="S46"/>
          <cell r="T46">
            <v>21.484848484848484</v>
          </cell>
          <cell r="U46"/>
          <cell r="V46"/>
          <cell r="W46"/>
          <cell r="X46"/>
          <cell r="Y46"/>
          <cell r="AB46"/>
          <cell r="AC46"/>
          <cell r="AE46"/>
          <cell r="AF46"/>
          <cell r="AG46"/>
          <cell r="AH46"/>
          <cell r="AI46">
            <v>51.491820377689947</v>
          </cell>
          <cell r="AJ46">
            <v>9.9954710144927539</v>
          </cell>
          <cell r="AK46">
            <v>19.990942028985508</v>
          </cell>
          <cell r="AL46"/>
          <cell r="AM46"/>
          <cell r="AN46">
            <v>18.779369784804569</v>
          </cell>
          <cell r="AO46">
            <v>6.0578612209046998</v>
          </cell>
          <cell r="AP46"/>
          <cell r="AQ46"/>
          <cell r="AR46"/>
          <cell r="AS46"/>
        </row>
        <row r="47">
          <cell r="B47" t="str">
            <v>EQ13_T</v>
          </cell>
          <cell r="C47" t="str">
            <v>Quantidade</v>
          </cell>
          <cell r="D47">
            <v>2</v>
          </cell>
          <cell r="F47">
            <v>4</v>
          </cell>
          <cell r="H47">
            <v>2</v>
          </cell>
          <cell r="K47">
            <v>337.23807604485376</v>
          </cell>
          <cell r="L47">
            <v>0.08</v>
          </cell>
          <cell r="M47">
            <v>26.979046083588301</v>
          </cell>
          <cell r="N47">
            <v>364.21712212844204</v>
          </cell>
          <cell r="P47">
            <v>2</v>
          </cell>
          <cell r="T47">
            <v>1</v>
          </cell>
          <cell r="AD47">
            <v>30.660353535353536</v>
          </cell>
          <cell r="AI47">
            <v>1</v>
          </cell>
          <cell r="AJ47">
            <v>1</v>
          </cell>
          <cell r="AK47">
            <v>1</v>
          </cell>
          <cell r="AN47">
            <v>1</v>
          </cell>
          <cell r="AO47">
            <v>1</v>
          </cell>
          <cell r="AT47">
            <v>106.31546442687747</v>
          </cell>
          <cell r="AV47">
            <v>501.19294009067301</v>
          </cell>
        </row>
        <row r="48">
          <cell r="C48" t="str">
            <v>Custo Total (R$/Hora)</v>
          </cell>
          <cell r="D48">
            <v>104.41889218506078</v>
          </cell>
          <cell r="E48"/>
          <cell r="F48">
            <v>184.90691378395542</v>
          </cell>
          <cell r="G48"/>
          <cell r="H48">
            <v>47.91227007583754</v>
          </cell>
          <cell r="I48"/>
          <cell r="J48"/>
          <cell r="O48"/>
          <cell r="P48">
            <v>9.1755050505050502</v>
          </cell>
          <cell r="Q48"/>
          <cell r="R48"/>
          <cell r="S48"/>
          <cell r="T48">
            <v>21.484848484848484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E48"/>
          <cell r="AF48"/>
          <cell r="AG48"/>
          <cell r="AH48"/>
          <cell r="AI48">
            <v>51.491820377689947</v>
          </cell>
          <cell r="AJ48">
            <v>9.9954710144927539</v>
          </cell>
          <cell r="AK48">
            <v>19.990942028985508</v>
          </cell>
          <cell r="AL48"/>
          <cell r="AM48"/>
          <cell r="AN48">
            <v>18.779369784804569</v>
          </cell>
          <cell r="AO48">
            <v>6.0578612209046998</v>
          </cell>
          <cell r="AP48"/>
          <cell r="AQ48"/>
          <cell r="AR48"/>
          <cell r="AS48"/>
        </row>
        <row r="49">
          <cell r="B49" t="str">
            <v>EQ14</v>
          </cell>
          <cell r="C49" t="str">
            <v>Quantidade</v>
          </cell>
          <cell r="E49">
            <v>2</v>
          </cell>
          <cell r="G49">
            <v>4</v>
          </cell>
          <cell r="H49">
            <v>2</v>
          </cell>
          <cell r="K49">
            <v>264.28124686438099</v>
          </cell>
          <cell r="L49">
            <v>0.08</v>
          </cell>
          <cell r="M49">
            <v>21.142499749150481</v>
          </cell>
          <cell r="N49">
            <v>285.42374661353148</v>
          </cell>
          <cell r="P49">
            <v>2</v>
          </cell>
          <cell r="T49">
            <v>1</v>
          </cell>
          <cell r="AD49">
            <v>30.660353535353536</v>
          </cell>
          <cell r="AI49">
            <v>1</v>
          </cell>
          <cell r="AJ49">
            <v>1</v>
          </cell>
          <cell r="AK49">
            <v>1</v>
          </cell>
          <cell r="AN49">
            <v>1</v>
          </cell>
          <cell r="AO49">
            <v>1</v>
          </cell>
          <cell r="AT49">
            <v>106.31546442687747</v>
          </cell>
          <cell r="AV49">
            <v>422.3995645757625</v>
          </cell>
        </row>
        <row r="50">
          <cell r="C50" t="str">
            <v>Custo Total (R$/Hora)</v>
          </cell>
          <cell r="D50"/>
          <cell r="E50">
            <v>83.53511374804863</v>
          </cell>
          <cell r="F50"/>
          <cell r="G50">
            <v>142.41631705566229</v>
          </cell>
          <cell r="H50">
            <v>38.329816060670034</v>
          </cell>
          <cell r="I50"/>
          <cell r="J50"/>
          <cell r="O50"/>
          <cell r="P50">
            <v>9.1755050505050502</v>
          </cell>
          <cell r="Q50"/>
          <cell r="R50"/>
          <cell r="S50"/>
          <cell r="T50">
            <v>21.484848484848484</v>
          </cell>
          <cell r="U50"/>
          <cell r="V50"/>
          <cell r="W50"/>
          <cell r="X50"/>
          <cell r="Y50"/>
          <cell r="AB50"/>
          <cell r="AC50"/>
          <cell r="AE50"/>
          <cell r="AF50"/>
          <cell r="AG50"/>
          <cell r="AH50"/>
          <cell r="AI50">
            <v>51.491820377689947</v>
          </cell>
          <cell r="AJ50">
            <v>9.9954710144927539</v>
          </cell>
          <cell r="AK50">
            <v>19.990942028985508</v>
          </cell>
          <cell r="AL50"/>
          <cell r="AM50"/>
          <cell r="AN50">
            <v>18.779369784804569</v>
          </cell>
          <cell r="AO50">
            <v>6.0578612209046998</v>
          </cell>
          <cell r="AP50"/>
          <cell r="AQ50"/>
          <cell r="AR50"/>
          <cell r="AS50"/>
        </row>
        <row r="51">
          <cell r="B51" t="str">
            <v>EQ14_T</v>
          </cell>
          <cell r="C51" t="str">
            <v>Quantidade</v>
          </cell>
          <cell r="E51">
            <v>2</v>
          </cell>
          <cell r="G51">
            <v>4</v>
          </cell>
          <cell r="H51">
            <v>2</v>
          </cell>
          <cell r="K51">
            <v>330.35155858047619</v>
          </cell>
          <cell r="L51">
            <v>0.08</v>
          </cell>
          <cell r="M51">
            <v>26.428124686438096</v>
          </cell>
          <cell r="N51">
            <v>356.77968326691428</v>
          </cell>
          <cell r="P51">
            <v>2</v>
          </cell>
          <cell r="T51">
            <v>1</v>
          </cell>
          <cell r="AD51">
            <v>30.660353535353536</v>
          </cell>
          <cell r="AI51">
            <v>1</v>
          </cell>
          <cell r="AJ51">
            <v>1</v>
          </cell>
          <cell r="AK51">
            <v>1</v>
          </cell>
          <cell r="AN51">
            <v>1</v>
          </cell>
          <cell r="AO51">
            <v>1</v>
          </cell>
          <cell r="AT51">
            <v>106.31546442687747</v>
          </cell>
          <cell r="AV51">
            <v>493.75550122914524</v>
          </cell>
        </row>
        <row r="52">
          <cell r="C52" t="str">
            <v>Custo Total (R$/Hora)</v>
          </cell>
          <cell r="D52"/>
          <cell r="E52">
            <v>104.41889218506078</v>
          </cell>
          <cell r="F52"/>
          <cell r="G52">
            <v>178.02039631957786</v>
          </cell>
          <cell r="H52">
            <v>47.91227007583754</v>
          </cell>
          <cell r="I52"/>
          <cell r="J52"/>
          <cell r="O52"/>
          <cell r="P52">
            <v>9.1755050505050502</v>
          </cell>
          <cell r="Q52"/>
          <cell r="R52"/>
          <cell r="S52"/>
          <cell r="T52">
            <v>21.484848484848484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E52"/>
          <cell r="AF52"/>
          <cell r="AG52"/>
          <cell r="AH52"/>
          <cell r="AI52">
            <v>51.491820377689947</v>
          </cell>
          <cell r="AJ52">
            <v>9.9954710144927539</v>
          </cell>
          <cell r="AK52">
            <v>19.990942028985508</v>
          </cell>
          <cell r="AL52"/>
          <cell r="AM52"/>
          <cell r="AN52">
            <v>18.779369784804569</v>
          </cell>
          <cell r="AO52">
            <v>6.0578612209046998</v>
          </cell>
          <cell r="AP52"/>
          <cell r="AQ52"/>
          <cell r="AR52"/>
          <cell r="AS52"/>
        </row>
        <row r="53">
          <cell r="B53" t="str">
            <v>EQ15</v>
          </cell>
          <cell r="C53" t="str">
            <v>Quantidade</v>
          </cell>
          <cell r="F53">
            <v>1</v>
          </cell>
          <cell r="H53">
            <v>1</v>
          </cell>
          <cell r="K53">
            <v>56.146290787126091</v>
          </cell>
          <cell r="L53">
            <v>0.08</v>
          </cell>
          <cell r="M53">
            <v>4.4917032629700877</v>
          </cell>
          <cell r="N53">
            <v>60.637994050096182</v>
          </cell>
          <cell r="R53">
            <v>1</v>
          </cell>
          <cell r="W53">
            <v>1</v>
          </cell>
          <cell r="AD53">
            <v>7.7760555555555557</v>
          </cell>
          <cell r="AT53">
            <v>0</v>
          </cell>
          <cell r="AV53">
            <v>68.414049605651741</v>
          </cell>
        </row>
        <row r="54">
          <cell r="C54" t="str">
            <v>Custo Total (R$/Hora)</v>
          </cell>
          <cell r="D54"/>
          <cell r="E54"/>
          <cell r="F54">
            <v>36.981382756791078</v>
          </cell>
          <cell r="G54"/>
          <cell r="H54">
            <v>19.164908030335017</v>
          </cell>
          <cell r="I54"/>
          <cell r="J54"/>
          <cell r="O54"/>
          <cell r="P54"/>
          <cell r="Q54"/>
          <cell r="R54">
            <v>6.7662878787878791</v>
          </cell>
          <cell r="S54"/>
          <cell r="T54"/>
          <cell r="U54"/>
          <cell r="V54"/>
          <cell r="W54">
            <v>1.0097676767676769</v>
          </cell>
          <cell r="X54"/>
          <cell r="Y54"/>
          <cell r="AB54"/>
          <cell r="AC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</row>
        <row r="55">
          <cell r="B55" t="str">
            <v>EQ16</v>
          </cell>
          <cell r="C55" t="str">
            <v>Quantidade</v>
          </cell>
          <cell r="G55">
            <v>1</v>
          </cell>
          <cell r="H55">
            <v>1</v>
          </cell>
          <cell r="K55">
            <v>54.768987294250593</v>
          </cell>
          <cell r="L55">
            <v>0.08</v>
          </cell>
          <cell r="M55">
            <v>4.3815189835400474</v>
          </cell>
          <cell r="N55">
            <v>59.15050627779064</v>
          </cell>
          <cell r="R55">
            <v>1</v>
          </cell>
          <cell r="W55">
            <v>1</v>
          </cell>
          <cell r="AD55">
            <v>7.7760555555555557</v>
          </cell>
          <cell r="AT55">
            <v>0</v>
          </cell>
          <cell r="AV55">
            <v>66.926561833346199</v>
          </cell>
        </row>
        <row r="56">
          <cell r="C56" t="str">
            <v>Custo Total (R$/Hora)</v>
          </cell>
          <cell r="D56"/>
          <cell r="E56"/>
          <cell r="F56"/>
          <cell r="G56">
            <v>35.604079263915573</v>
          </cell>
          <cell r="H56">
            <v>19.164908030335017</v>
          </cell>
          <cell r="I56"/>
          <cell r="J56"/>
          <cell r="O56"/>
          <cell r="P56"/>
          <cell r="Q56"/>
          <cell r="R56">
            <v>6.7662878787878791</v>
          </cell>
          <cell r="S56"/>
          <cell r="T56"/>
          <cell r="U56"/>
          <cell r="V56"/>
          <cell r="W56">
            <v>1.0097676767676769</v>
          </cell>
          <cell r="X56"/>
          <cell r="Y56"/>
          <cell r="AB56"/>
          <cell r="AC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/>
        </row>
        <row r="57">
          <cell r="B57" t="str">
            <v>EQ17</v>
          </cell>
          <cell r="C57" t="str">
            <v>Quantidade</v>
          </cell>
          <cell r="F57">
            <v>2</v>
          </cell>
          <cell r="H57">
            <v>1</v>
          </cell>
          <cell r="K57">
            <v>93.127673543917169</v>
          </cell>
          <cell r="L57">
            <v>0.08</v>
          </cell>
          <cell r="M57">
            <v>7.4502138835133733</v>
          </cell>
          <cell r="N57">
            <v>100.57788742743054</v>
          </cell>
          <cell r="Q57">
            <v>1</v>
          </cell>
          <cell r="AD57">
            <v>5.955303030303031</v>
          </cell>
          <cell r="AG57">
            <v>1</v>
          </cell>
          <cell r="AT57">
            <v>24.231444883618799</v>
          </cell>
          <cell r="AV57">
            <v>130.76463534135237</v>
          </cell>
        </row>
        <row r="58">
          <cell r="C58" t="str">
            <v>Custo Total (R$/Hora)</v>
          </cell>
          <cell r="D58"/>
          <cell r="E58"/>
          <cell r="F58">
            <v>73.962765513582156</v>
          </cell>
          <cell r="G58"/>
          <cell r="H58">
            <v>19.164908030335017</v>
          </cell>
          <cell r="I58"/>
          <cell r="J58"/>
          <cell r="O58"/>
          <cell r="P58"/>
          <cell r="Q58">
            <v>5.955303030303031</v>
          </cell>
          <cell r="R58"/>
          <cell r="S58"/>
          <cell r="T58"/>
          <cell r="U58"/>
          <cell r="V58"/>
          <cell r="W58"/>
          <cell r="X58"/>
          <cell r="Y58"/>
          <cell r="AB58"/>
          <cell r="AC58"/>
          <cell r="AE58"/>
          <cell r="AF58"/>
          <cell r="AG58">
            <v>24.231444883618799</v>
          </cell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</row>
        <row r="59">
          <cell r="B59" t="str">
            <v>EQ17_T</v>
          </cell>
          <cell r="C59" t="str">
            <v>Quantidade</v>
          </cell>
          <cell r="F59">
            <v>2</v>
          </cell>
          <cell r="H59">
            <v>1</v>
          </cell>
          <cell r="K59">
            <v>116.40959192989648</v>
          </cell>
          <cell r="L59">
            <v>0.08</v>
          </cell>
          <cell r="M59">
            <v>9.3127673543917187</v>
          </cell>
          <cell r="N59">
            <v>125.7223592842882</v>
          </cell>
          <cell r="Q59">
            <v>1</v>
          </cell>
          <cell r="AD59">
            <v>5.955303030303031</v>
          </cell>
          <cell r="AG59">
            <v>1</v>
          </cell>
          <cell r="AT59">
            <v>24.231444883618799</v>
          </cell>
          <cell r="AV59">
            <v>155.90910719821002</v>
          </cell>
        </row>
        <row r="60">
          <cell r="C60" t="str">
            <v>Custo Total (R$/Hora)</v>
          </cell>
          <cell r="D60"/>
          <cell r="E60"/>
          <cell r="F60">
            <v>92.453456891977709</v>
          </cell>
          <cell r="G60"/>
          <cell r="H60">
            <v>23.95613503791877</v>
          </cell>
          <cell r="I60"/>
          <cell r="J60"/>
          <cell r="O60"/>
          <cell r="P60"/>
          <cell r="Q60">
            <v>5.955303030303031</v>
          </cell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E60"/>
          <cell r="AF60"/>
          <cell r="AG60">
            <v>24.231444883618799</v>
          </cell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</row>
        <row r="61">
          <cell r="B61" t="str">
            <v>EQ18</v>
          </cell>
          <cell r="C61" t="str">
            <v>Quantidade</v>
          </cell>
          <cell r="G61">
            <v>1</v>
          </cell>
          <cell r="H61">
            <v>1</v>
          </cell>
          <cell r="K61">
            <v>54.768987294250593</v>
          </cell>
          <cell r="L61">
            <v>0.08</v>
          </cell>
          <cell r="M61">
            <v>4.3815189835400474</v>
          </cell>
          <cell r="N61">
            <v>59.15050627779064</v>
          </cell>
          <cell r="S61">
            <v>1</v>
          </cell>
          <cell r="AD61">
            <v>12.267676767676768</v>
          </cell>
          <cell r="AT61">
            <v>0</v>
          </cell>
          <cell r="AV61">
            <v>71.418183045467401</v>
          </cell>
        </row>
        <row r="62">
          <cell r="C62" t="str">
            <v>Custo Total (R$/Hora)</v>
          </cell>
          <cell r="D62"/>
          <cell r="E62"/>
          <cell r="F62"/>
          <cell r="G62">
            <v>35.604079263915573</v>
          </cell>
          <cell r="H62">
            <v>19.164908030335017</v>
          </cell>
          <cell r="I62"/>
          <cell r="J62"/>
          <cell r="O62"/>
          <cell r="P62"/>
          <cell r="Q62"/>
          <cell r="R62"/>
          <cell r="S62">
            <v>12.267676767676768</v>
          </cell>
          <cell r="T62"/>
          <cell r="U62"/>
          <cell r="V62"/>
          <cell r="W62"/>
          <cell r="X62"/>
          <cell r="Y62"/>
          <cell r="AB62"/>
          <cell r="AC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  <cell r="AO62"/>
          <cell r="AP62"/>
          <cell r="AQ62"/>
          <cell r="AR62"/>
          <cell r="AS62"/>
        </row>
        <row r="63">
          <cell r="B63" t="str">
            <v>EQ19</v>
          </cell>
          <cell r="C63" t="str">
            <v>Quantidade</v>
          </cell>
          <cell r="G63">
            <v>1</v>
          </cell>
          <cell r="H63">
            <v>1</v>
          </cell>
          <cell r="K63">
            <v>54.768987294250593</v>
          </cell>
          <cell r="L63">
            <v>0.08</v>
          </cell>
          <cell r="M63">
            <v>4.3815189835400474</v>
          </cell>
          <cell r="N63">
            <v>59.15050627779064</v>
          </cell>
          <cell r="AD63">
            <v>0</v>
          </cell>
          <cell r="AP63">
            <v>1</v>
          </cell>
          <cell r="AQ63">
            <v>1</v>
          </cell>
          <cell r="AT63">
            <v>29.683519982433026</v>
          </cell>
          <cell r="AV63">
            <v>88.834026260223666</v>
          </cell>
        </row>
        <row r="64">
          <cell r="C64" t="str">
            <v>Custo Total (R$/Hora)</v>
          </cell>
          <cell r="D64"/>
          <cell r="E64"/>
          <cell r="F64"/>
          <cell r="G64">
            <v>35.604079263915573</v>
          </cell>
          <cell r="H64">
            <v>19.164908030335017</v>
          </cell>
          <cell r="I64"/>
          <cell r="J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AB64"/>
          <cell r="AC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>
            <v>18.173583662714098</v>
          </cell>
          <cell r="AQ64">
            <v>11.509936319718928</v>
          </cell>
          <cell r="AR64"/>
          <cell r="AS64"/>
        </row>
        <row r="65">
          <cell r="B65" t="str">
            <v>EQ19_T</v>
          </cell>
          <cell r="C65" t="str">
            <v>Quantidade</v>
          </cell>
          <cell r="G65">
            <v>1</v>
          </cell>
          <cell r="H65">
            <v>1</v>
          </cell>
          <cell r="K65">
            <v>68.461234117813234</v>
          </cell>
          <cell r="L65">
            <v>0.08</v>
          </cell>
          <cell r="M65">
            <v>5.4768987294250584</v>
          </cell>
          <cell r="N65">
            <v>73.938132847238293</v>
          </cell>
          <cell r="AD65">
            <v>0</v>
          </cell>
          <cell r="AP65">
            <v>1</v>
          </cell>
          <cell r="AQ65">
            <v>1</v>
          </cell>
          <cell r="AT65">
            <v>29.683519982433026</v>
          </cell>
          <cell r="AV65">
            <v>103.62165282967132</v>
          </cell>
        </row>
        <row r="66">
          <cell r="C66" t="str">
            <v>Custo Total (R$/Hora)</v>
          </cell>
          <cell r="D66"/>
          <cell r="E66"/>
          <cell r="F66"/>
          <cell r="G66">
            <v>44.505099079894464</v>
          </cell>
          <cell r="H66">
            <v>23.95613503791877</v>
          </cell>
          <cell r="I66"/>
          <cell r="J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E66"/>
          <cell r="AF66"/>
          <cell r="AG66"/>
          <cell r="AH66"/>
          <cell r="AI66"/>
          <cell r="AJ66"/>
          <cell r="AK66"/>
          <cell r="AL66"/>
          <cell r="AM66"/>
          <cell r="AN66"/>
          <cell r="AO66"/>
          <cell r="AP66">
            <v>18.173583662714098</v>
          </cell>
          <cell r="AQ66">
            <v>11.509936319718928</v>
          </cell>
          <cell r="AR66"/>
          <cell r="AS66"/>
        </row>
        <row r="67">
          <cell r="B67" t="str">
            <v>EQ20</v>
          </cell>
          <cell r="C67" t="str">
            <v>Quantidade</v>
          </cell>
          <cell r="K67">
            <v>0</v>
          </cell>
          <cell r="L67">
            <v>0.08</v>
          </cell>
          <cell r="M67">
            <v>0</v>
          </cell>
          <cell r="N67">
            <v>0</v>
          </cell>
          <cell r="AD67">
            <v>0</v>
          </cell>
          <cell r="AT67">
            <v>0</v>
          </cell>
          <cell r="AV67">
            <v>0</v>
          </cell>
        </row>
        <row r="68">
          <cell r="C68" t="str">
            <v>Custo Total (R$/Hora)</v>
          </cell>
          <cell r="D68"/>
          <cell r="E68"/>
          <cell r="F68"/>
          <cell r="G68"/>
          <cell r="H68"/>
          <cell r="I68"/>
          <cell r="J68"/>
          <cell r="O68"/>
          <cell r="P68"/>
          <cell r="Q68"/>
          <cell r="R68"/>
          <cell r="S68"/>
          <cell r="T68"/>
          <cell r="U68"/>
          <cell r="V68"/>
          <cell r="W68"/>
          <cell r="X68"/>
          <cell r="Y68"/>
          <cell r="AB68"/>
          <cell r="AC68"/>
          <cell r="AE68"/>
          <cell r="AF68"/>
          <cell r="AG68"/>
          <cell r="AH68"/>
          <cell r="AI68"/>
          <cell r="AJ68"/>
          <cell r="AK68"/>
          <cell r="AL68"/>
          <cell r="AM68"/>
          <cell r="AN68"/>
          <cell r="AO68"/>
          <cell r="AP68"/>
          <cell r="AQ68"/>
          <cell r="AR68"/>
          <cell r="AS68"/>
        </row>
        <row r="69">
          <cell r="B69" t="str">
            <v>EQ21</v>
          </cell>
          <cell r="C69" t="str">
            <v>Quantidade</v>
          </cell>
          <cell r="G69">
            <v>1</v>
          </cell>
          <cell r="H69">
            <v>1</v>
          </cell>
          <cell r="K69">
            <v>54.768987294250593</v>
          </cell>
          <cell r="L69">
            <v>0.08</v>
          </cell>
          <cell r="M69">
            <v>4.3815189835400474</v>
          </cell>
          <cell r="N69">
            <v>59.15050627779064</v>
          </cell>
          <cell r="T69">
            <v>1</v>
          </cell>
          <cell r="AD69">
            <v>21.484848484848484</v>
          </cell>
          <cell r="AR69">
            <v>1</v>
          </cell>
          <cell r="AT69">
            <v>3.0289306104523499</v>
          </cell>
          <cell r="AV69">
            <v>83.664285373091474</v>
          </cell>
        </row>
        <row r="70">
          <cell r="C70" t="str">
            <v>Custo Total (R$/Hora)</v>
          </cell>
          <cell r="D70"/>
          <cell r="E70"/>
          <cell r="F70"/>
          <cell r="G70">
            <v>35.604079263915573</v>
          </cell>
          <cell r="H70">
            <v>19.164908030335017</v>
          </cell>
          <cell r="I70"/>
          <cell r="J70"/>
          <cell r="O70"/>
          <cell r="P70"/>
          <cell r="Q70"/>
          <cell r="R70"/>
          <cell r="S70"/>
          <cell r="T70">
            <v>21.484848484848484</v>
          </cell>
          <cell r="U70"/>
          <cell r="V70"/>
          <cell r="W70"/>
          <cell r="X70"/>
          <cell r="Y70"/>
          <cell r="AB70"/>
          <cell r="AC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  <cell r="AR70">
            <v>3.0289306104523499</v>
          </cell>
          <cell r="AS70"/>
        </row>
        <row r="71">
          <cell r="B71" t="str">
            <v>EQ22</v>
          </cell>
          <cell r="C71" t="str">
            <v>Quantidade</v>
          </cell>
          <cell r="G71">
            <v>1</v>
          </cell>
          <cell r="H71">
            <v>2</v>
          </cell>
          <cell r="K71">
            <v>73.933895324585606</v>
          </cell>
          <cell r="L71">
            <v>0.08</v>
          </cell>
          <cell r="M71">
            <v>5.9147116259668486</v>
          </cell>
          <cell r="N71">
            <v>79.848606950552451</v>
          </cell>
          <cell r="T71">
            <v>1</v>
          </cell>
          <cell r="AD71">
            <v>21.484848484848484</v>
          </cell>
          <cell r="AN71">
            <v>1</v>
          </cell>
          <cell r="AT71">
            <v>18.779369784804569</v>
          </cell>
          <cell r="AV71">
            <v>120.11282522020551</v>
          </cell>
        </row>
        <row r="72">
          <cell r="C72" t="str">
            <v>Custo Total (R$/Hora)</v>
          </cell>
          <cell r="D72"/>
          <cell r="E72"/>
          <cell r="F72"/>
          <cell r="G72">
            <v>35.604079263915573</v>
          </cell>
          <cell r="H72">
            <v>38.329816060670034</v>
          </cell>
          <cell r="I72"/>
          <cell r="J72"/>
          <cell r="O72"/>
          <cell r="P72"/>
          <cell r="Q72"/>
          <cell r="R72"/>
          <cell r="S72"/>
          <cell r="T72">
            <v>21.484848484848484</v>
          </cell>
          <cell r="U72"/>
          <cell r="V72"/>
          <cell r="W72"/>
          <cell r="X72"/>
          <cell r="Y72"/>
          <cell r="AB72"/>
          <cell r="AC72"/>
          <cell r="AE72"/>
          <cell r="AF72"/>
          <cell r="AG72"/>
          <cell r="AH72"/>
          <cell r="AI72"/>
          <cell r="AJ72"/>
          <cell r="AK72"/>
          <cell r="AL72"/>
          <cell r="AM72"/>
          <cell r="AN72">
            <v>18.779369784804569</v>
          </cell>
          <cell r="AO72"/>
          <cell r="AP72"/>
          <cell r="AQ72"/>
          <cell r="AR72"/>
          <cell r="AS72"/>
        </row>
        <row r="73">
          <cell r="B73" t="str">
            <v>EQ22_T</v>
          </cell>
          <cell r="C73" t="str">
            <v>Quantidade</v>
          </cell>
          <cell r="G73">
            <v>1</v>
          </cell>
          <cell r="H73">
            <v>2</v>
          </cell>
          <cell r="K73">
            <v>92.417369155732004</v>
          </cell>
          <cell r="L73">
            <v>0.08</v>
          </cell>
          <cell r="M73">
            <v>7.3933895324585608</v>
          </cell>
          <cell r="N73">
            <v>99.81075868819056</v>
          </cell>
          <cell r="T73">
            <v>1</v>
          </cell>
          <cell r="AD73">
            <v>21.484848484848484</v>
          </cell>
          <cell r="AN73">
            <v>1</v>
          </cell>
          <cell r="AT73">
            <v>18.779369784804569</v>
          </cell>
          <cell r="AV73">
            <v>140.0749769578436</v>
          </cell>
        </row>
        <row r="74">
          <cell r="C74" t="str">
            <v>Custo Total (R$/Hora)</v>
          </cell>
          <cell r="D74"/>
          <cell r="E74"/>
          <cell r="F74"/>
          <cell r="G74">
            <v>44.505099079894464</v>
          </cell>
          <cell r="H74">
            <v>47.91227007583754</v>
          </cell>
          <cell r="I74"/>
          <cell r="J74"/>
          <cell r="O74"/>
          <cell r="P74"/>
          <cell r="Q74"/>
          <cell r="R74"/>
          <cell r="S74"/>
          <cell r="T74">
            <v>21.484848484848484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E74"/>
          <cell r="AF74"/>
          <cell r="AG74"/>
          <cell r="AH74"/>
          <cell r="AI74"/>
          <cell r="AJ74"/>
          <cell r="AK74"/>
          <cell r="AL74"/>
          <cell r="AM74"/>
          <cell r="AN74">
            <v>18.779369784804569</v>
          </cell>
          <cell r="AO74"/>
          <cell r="AP74"/>
          <cell r="AQ74"/>
          <cell r="AR74"/>
          <cell r="AS74"/>
        </row>
        <row r="75">
          <cell r="B75" t="str">
            <v>EQ23</v>
          </cell>
          <cell r="C75" t="str">
            <v>Quantidade</v>
          </cell>
          <cell r="F75">
            <v>2</v>
          </cell>
          <cell r="H75">
            <v>1</v>
          </cell>
          <cell r="K75">
            <v>93.127673543917169</v>
          </cell>
          <cell r="L75">
            <v>0.08</v>
          </cell>
          <cell r="M75">
            <v>7.4502138835133733</v>
          </cell>
          <cell r="N75">
            <v>100.57788742743054</v>
          </cell>
          <cell r="T75">
            <v>1</v>
          </cell>
          <cell r="AD75">
            <v>21.484848484848484</v>
          </cell>
          <cell r="AG75">
            <v>1</v>
          </cell>
          <cell r="AT75">
            <v>24.231444883618799</v>
          </cell>
          <cell r="AV75">
            <v>146.29418079589783</v>
          </cell>
        </row>
        <row r="76">
          <cell r="C76" t="str">
            <v>Custo Total (R$/Hora)</v>
          </cell>
          <cell r="D76"/>
          <cell r="E76"/>
          <cell r="F76">
            <v>73.962765513582156</v>
          </cell>
          <cell r="G76"/>
          <cell r="H76">
            <v>19.164908030335017</v>
          </cell>
          <cell r="I76"/>
          <cell r="J76"/>
          <cell r="O76"/>
          <cell r="P76"/>
          <cell r="Q76"/>
          <cell r="R76"/>
          <cell r="S76"/>
          <cell r="T76">
            <v>21.484848484848484</v>
          </cell>
          <cell r="U76"/>
          <cell r="V76"/>
          <cell r="W76"/>
          <cell r="X76"/>
          <cell r="Y76"/>
          <cell r="AB76"/>
          <cell r="AC76"/>
          <cell r="AE76"/>
          <cell r="AF76"/>
          <cell r="AG76">
            <v>24.231444883618799</v>
          </cell>
          <cell r="AH76"/>
          <cell r="AI76"/>
          <cell r="AJ76"/>
          <cell r="AK76"/>
          <cell r="AL76"/>
          <cell r="AM76"/>
          <cell r="AN76"/>
          <cell r="AO76"/>
          <cell r="AP76"/>
          <cell r="AQ76"/>
          <cell r="AR76"/>
          <cell r="AS76"/>
        </row>
        <row r="77">
          <cell r="B77" t="str">
            <v>EQ23_T</v>
          </cell>
          <cell r="C77" t="str">
            <v>Quantidade</v>
          </cell>
          <cell r="F77">
            <v>2</v>
          </cell>
          <cell r="H77">
            <v>1</v>
          </cell>
          <cell r="K77">
            <v>116.40959192989648</v>
          </cell>
          <cell r="L77">
            <v>0.08</v>
          </cell>
          <cell r="M77">
            <v>9.3127673543917187</v>
          </cell>
          <cell r="N77">
            <v>125.7223592842882</v>
          </cell>
          <cell r="T77">
            <v>1</v>
          </cell>
          <cell r="AD77">
            <v>21.484848484848484</v>
          </cell>
          <cell r="AG77">
            <v>1</v>
          </cell>
          <cell r="AT77">
            <v>24.231444883618799</v>
          </cell>
          <cell r="AV77">
            <v>171.43865265275548</v>
          </cell>
        </row>
        <row r="78">
          <cell r="C78" t="str">
            <v>Custo Total (R$/Hora)</v>
          </cell>
          <cell r="D78"/>
          <cell r="E78"/>
          <cell r="F78">
            <v>92.453456891977709</v>
          </cell>
          <cell r="G78"/>
          <cell r="H78">
            <v>23.95613503791877</v>
          </cell>
          <cell r="I78"/>
          <cell r="J78"/>
          <cell r="O78"/>
          <cell r="P78"/>
          <cell r="Q78"/>
          <cell r="R78"/>
          <cell r="S78"/>
          <cell r="T78">
            <v>21.484848484848484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E78"/>
          <cell r="AF78"/>
          <cell r="AG78">
            <v>24.231444883618799</v>
          </cell>
          <cell r="AH78"/>
          <cell r="AI78"/>
          <cell r="AJ78"/>
          <cell r="AK78"/>
          <cell r="AL78"/>
          <cell r="AM78"/>
          <cell r="AN78"/>
          <cell r="AO78"/>
          <cell r="AP78"/>
          <cell r="AQ78"/>
          <cell r="AR78"/>
          <cell r="AS78"/>
        </row>
        <row r="79">
          <cell r="B79" t="str">
            <v>EQ24</v>
          </cell>
          <cell r="C79" t="str">
            <v>Quantidade</v>
          </cell>
          <cell r="G79">
            <v>1</v>
          </cell>
          <cell r="H79">
            <v>1</v>
          </cell>
          <cell r="K79">
            <v>54.768987294250593</v>
          </cell>
          <cell r="L79">
            <v>0.08</v>
          </cell>
          <cell r="M79">
            <v>4.3815189835400474</v>
          </cell>
          <cell r="N79">
            <v>59.15050627779064</v>
          </cell>
          <cell r="R79">
            <v>1</v>
          </cell>
          <cell r="AD79">
            <v>6.7662878787878791</v>
          </cell>
          <cell r="AT79">
            <v>0</v>
          </cell>
          <cell r="AV79">
            <v>65.916794156578518</v>
          </cell>
        </row>
        <row r="80">
          <cell r="C80" t="str">
            <v>Custo Total (R$/Hora)</v>
          </cell>
          <cell r="D80"/>
          <cell r="E80"/>
          <cell r="F80"/>
          <cell r="G80">
            <v>35.604079263915573</v>
          </cell>
          <cell r="H80">
            <v>19.164908030335017</v>
          </cell>
          <cell r="I80"/>
          <cell r="J80"/>
          <cell r="O80"/>
          <cell r="P80"/>
          <cell r="Q80"/>
          <cell r="R80">
            <v>6.7662878787878791</v>
          </cell>
          <cell r="S80"/>
          <cell r="T80"/>
          <cell r="U80"/>
          <cell r="V80"/>
          <cell r="W80"/>
          <cell r="X80"/>
          <cell r="Y80"/>
          <cell r="AB80"/>
          <cell r="AC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  <cell r="AR80"/>
          <cell r="AS80"/>
        </row>
        <row r="81">
          <cell r="B81" t="str">
            <v>EQ24_T</v>
          </cell>
          <cell r="C81" t="str">
            <v>Quantidade</v>
          </cell>
          <cell r="G81">
            <v>1</v>
          </cell>
          <cell r="H81">
            <v>1</v>
          </cell>
          <cell r="K81">
            <v>68.461234117813234</v>
          </cell>
          <cell r="L81">
            <v>0.08</v>
          </cell>
          <cell r="M81">
            <v>5.4768987294250584</v>
          </cell>
          <cell r="N81">
            <v>73.938132847238293</v>
          </cell>
          <cell r="R81">
            <v>1</v>
          </cell>
          <cell r="AD81">
            <v>6.7662878787878791</v>
          </cell>
          <cell r="AT81">
            <v>0</v>
          </cell>
          <cell r="AV81">
            <v>80.704420726026171</v>
          </cell>
        </row>
        <row r="82">
          <cell r="C82" t="str">
            <v>Custo Total (R$/Hora)</v>
          </cell>
          <cell r="D82"/>
          <cell r="E82"/>
          <cell r="F82"/>
          <cell r="G82">
            <v>44.505099079894464</v>
          </cell>
          <cell r="H82">
            <v>23.95613503791877</v>
          </cell>
          <cell r="I82"/>
          <cell r="J82"/>
          <cell r="O82"/>
          <cell r="P82"/>
          <cell r="Q82"/>
          <cell r="R82">
            <v>6.7662878787878791</v>
          </cell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E82"/>
          <cell r="AF82"/>
          <cell r="AG82"/>
          <cell r="AH82"/>
          <cell r="AI82"/>
          <cell r="AJ82"/>
          <cell r="AK82"/>
          <cell r="AL82"/>
          <cell r="AM82"/>
          <cell r="AN82"/>
          <cell r="AO82"/>
          <cell r="AP82"/>
          <cell r="AQ82"/>
          <cell r="AR82"/>
          <cell r="AS82"/>
        </row>
        <row r="83">
          <cell r="B83" t="str">
            <v>EQ25</v>
          </cell>
          <cell r="C83" t="str">
            <v>Quantidade</v>
          </cell>
          <cell r="I83">
            <v>1</v>
          </cell>
          <cell r="J83">
            <v>1</v>
          </cell>
          <cell r="K83">
            <v>162.29119215228502</v>
          </cell>
          <cell r="L83">
            <v>0.15</v>
          </cell>
          <cell r="M83">
            <v>24.343678822842751</v>
          </cell>
          <cell r="N83">
            <v>186.63487097512777</v>
          </cell>
          <cell r="P83">
            <v>1</v>
          </cell>
          <cell r="Q83">
            <v>1</v>
          </cell>
          <cell r="T83">
            <v>1</v>
          </cell>
          <cell r="U83">
            <v>1</v>
          </cell>
          <cell r="AD83">
            <v>43.080631313131313</v>
          </cell>
          <cell r="AG83">
            <v>1</v>
          </cell>
          <cell r="AT83">
            <v>24.231444883618799</v>
          </cell>
          <cell r="AV83">
            <v>253.94694717187787</v>
          </cell>
        </row>
        <row r="84">
          <cell r="C84" t="str">
            <v>Custo Total (R$/Hora)</v>
          </cell>
          <cell r="D84"/>
          <cell r="E84"/>
          <cell r="F84"/>
          <cell r="G84"/>
          <cell r="H84"/>
          <cell r="I84">
            <v>63.933948941063235</v>
          </cell>
          <cell r="J84">
            <v>98.357243211221771</v>
          </cell>
          <cell r="O84"/>
          <cell r="P84">
            <v>4.5877525252525251</v>
          </cell>
          <cell r="Q84">
            <v>5.955303030303031</v>
          </cell>
          <cell r="R84"/>
          <cell r="S84"/>
          <cell r="T84">
            <v>21.484848484848484</v>
          </cell>
          <cell r="U84">
            <v>11.052727272727273</v>
          </cell>
          <cell r="V84"/>
          <cell r="W84"/>
          <cell r="X84"/>
          <cell r="Y84"/>
          <cell r="AB84"/>
          <cell r="AC84"/>
          <cell r="AE84"/>
          <cell r="AF84"/>
          <cell r="AG84">
            <v>24.231444883618799</v>
          </cell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</row>
        <row r="85">
          <cell r="B85" t="str">
            <v>EQ26</v>
          </cell>
          <cell r="C85" t="str">
            <v>Quantidade</v>
          </cell>
          <cell r="G85">
            <v>1</v>
          </cell>
          <cell r="H85">
            <v>1</v>
          </cell>
          <cell r="K85">
            <v>54.768987294250593</v>
          </cell>
          <cell r="L85">
            <v>0.08</v>
          </cell>
          <cell r="M85">
            <v>4.3815189835400474</v>
          </cell>
          <cell r="N85">
            <v>59.15050627779064</v>
          </cell>
          <cell r="Z85">
            <v>1</v>
          </cell>
          <cell r="AD85">
            <v>45.719191919191914</v>
          </cell>
          <cell r="AT85">
            <v>0</v>
          </cell>
          <cell r="AV85">
            <v>104.86969819698255</v>
          </cell>
        </row>
        <row r="86">
          <cell r="C86" t="str">
            <v>Custo Total (R$/Hora)</v>
          </cell>
          <cell r="D86"/>
          <cell r="E86"/>
          <cell r="F86"/>
          <cell r="G86">
            <v>35.604079263915573</v>
          </cell>
          <cell r="H86">
            <v>19.164908030335017</v>
          </cell>
          <cell r="I86"/>
          <cell r="J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>
            <v>45.719191919191914</v>
          </cell>
          <cell r="AB86"/>
          <cell r="AC86"/>
          <cell r="AE86"/>
          <cell r="AF86"/>
          <cell r="AG86"/>
          <cell r="AH86"/>
          <cell r="AI86"/>
          <cell r="AJ86"/>
          <cell r="AK86"/>
          <cell r="AL86"/>
          <cell r="AM86"/>
          <cell r="AN86"/>
          <cell r="AO86"/>
          <cell r="AP86"/>
          <cell r="AQ86"/>
          <cell r="AR86"/>
          <cell r="AS86"/>
        </row>
        <row r="87">
          <cell r="B87" t="str">
            <v>EQ26_T</v>
          </cell>
          <cell r="C87" t="str">
            <v>Quantidade</v>
          </cell>
          <cell r="G87">
            <v>1</v>
          </cell>
          <cell r="H87">
            <v>1</v>
          </cell>
          <cell r="K87">
            <v>68.461234117813234</v>
          </cell>
          <cell r="L87">
            <v>0.08</v>
          </cell>
          <cell r="M87">
            <v>5.4768987294250584</v>
          </cell>
          <cell r="N87">
            <v>73.938132847238293</v>
          </cell>
          <cell r="Z87">
            <v>1</v>
          </cell>
          <cell r="AD87">
            <v>45.719191919191914</v>
          </cell>
          <cell r="AT87">
            <v>0</v>
          </cell>
          <cell r="AV87">
            <v>119.65732476643021</v>
          </cell>
        </row>
        <row r="88">
          <cell r="C88" t="str">
            <v>Custo Total (R$/Hora)</v>
          </cell>
          <cell r="D88"/>
          <cell r="E88"/>
          <cell r="F88"/>
          <cell r="G88">
            <v>44.505099079894464</v>
          </cell>
          <cell r="H88">
            <v>23.95613503791877</v>
          </cell>
          <cell r="I88"/>
          <cell r="J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>
            <v>45.719191919191914</v>
          </cell>
          <cell r="AA88"/>
          <cell r="AB88"/>
          <cell r="AC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/>
          <cell r="AS88"/>
        </row>
        <row r="89">
          <cell r="B89" t="str">
            <v>EQ27</v>
          </cell>
          <cell r="C89" t="str">
            <v>Quantidade</v>
          </cell>
          <cell r="G89">
            <v>2</v>
          </cell>
          <cell r="H89">
            <v>2</v>
          </cell>
          <cell r="K89">
            <v>109.53797458850119</v>
          </cell>
          <cell r="L89">
            <v>0.08</v>
          </cell>
          <cell r="M89">
            <v>8.7630379670800949</v>
          </cell>
          <cell r="N89">
            <v>118.30101255558128</v>
          </cell>
          <cell r="S89">
            <v>1</v>
          </cell>
          <cell r="AD89">
            <v>12.267676767676768</v>
          </cell>
          <cell r="AJ89">
            <v>1</v>
          </cell>
          <cell r="AN89">
            <v>1</v>
          </cell>
          <cell r="AT89">
            <v>28.774840799297323</v>
          </cell>
          <cell r="AV89">
            <v>159.34353012255536</v>
          </cell>
        </row>
        <row r="90">
          <cell r="C90" t="str">
            <v>Custo Total (R$/Hora)</v>
          </cell>
          <cell r="D90"/>
          <cell r="E90"/>
          <cell r="F90"/>
          <cell r="G90">
            <v>71.208158527831145</v>
          </cell>
          <cell r="H90">
            <v>38.329816060670034</v>
          </cell>
          <cell r="I90"/>
          <cell r="J90"/>
          <cell r="O90"/>
          <cell r="P90"/>
          <cell r="Q90"/>
          <cell r="R90"/>
          <cell r="S90">
            <v>12.267676767676768</v>
          </cell>
          <cell r="T90"/>
          <cell r="U90"/>
          <cell r="V90"/>
          <cell r="W90"/>
          <cell r="X90"/>
          <cell r="Y90"/>
          <cell r="AB90"/>
          <cell r="AC90"/>
          <cell r="AE90"/>
          <cell r="AF90"/>
          <cell r="AG90"/>
          <cell r="AH90"/>
          <cell r="AI90"/>
          <cell r="AJ90">
            <v>9.9954710144927539</v>
          </cell>
          <cell r="AK90"/>
          <cell r="AL90"/>
          <cell r="AM90"/>
          <cell r="AN90">
            <v>18.779369784804569</v>
          </cell>
          <cell r="AO90"/>
          <cell r="AP90"/>
          <cell r="AQ90"/>
          <cell r="AR90"/>
          <cell r="AS90"/>
        </row>
        <row r="91">
          <cell r="B91" t="str">
            <v>EQ27_T</v>
          </cell>
          <cell r="C91" t="str">
            <v>Quantidade</v>
          </cell>
          <cell r="G91">
            <v>2</v>
          </cell>
          <cell r="H91">
            <v>2</v>
          </cell>
          <cell r="K91">
            <v>136.92246823562647</v>
          </cell>
          <cell r="L91">
            <v>0.08</v>
          </cell>
          <cell r="M91">
            <v>10.953797458850117</v>
          </cell>
          <cell r="N91">
            <v>147.87626569447659</v>
          </cell>
          <cell r="S91">
            <v>1</v>
          </cell>
          <cell r="AD91">
            <v>12.267676767676768</v>
          </cell>
          <cell r="AJ91">
            <v>1</v>
          </cell>
          <cell r="AN91">
            <v>1</v>
          </cell>
          <cell r="AT91">
            <v>28.774840799297323</v>
          </cell>
          <cell r="AV91">
            <v>188.91878326145067</v>
          </cell>
        </row>
        <row r="92">
          <cell r="C92" t="str">
            <v>Custo Total (R$/Hora)</v>
          </cell>
          <cell r="D92"/>
          <cell r="E92"/>
          <cell r="F92"/>
          <cell r="G92">
            <v>89.010198159788928</v>
          </cell>
          <cell r="H92">
            <v>47.91227007583754</v>
          </cell>
          <cell r="I92"/>
          <cell r="J92"/>
          <cell r="O92"/>
          <cell r="P92"/>
          <cell r="Q92"/>
          <cell r="R92"/>
          <cell r="S92">
            <v>12.267676767676768</v>
          </cell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E92"/>
          <cell r="AF92"/>
          <cell r="AG92"/>
          <cell r="AH92"/>
          <cell r="AI92"/>
          <cell r="AJ92">
            <v>9.9954710144927539</v>
          </cell>
          <cell r="AK92"/>
          <cell r="AL92"/>
          <cell r="AM92"/>
          <cell r="AN92">
            <v>18.779369784804569</v>
          </cell>
          <cell r="AO92"/>
          <cell r="AP92"/>
          <cell r="AQ92"/>
          <cell r="AR92"/>
          <cell r="AS92"/>
        </row>
        <row r="93">
          <cell r="B93" t="str">
            <v>EQ28</v>
          </cell>
          <cell r="C93" t="str">
            <v>Quantidade</v>
          </cell>
          <cell r="F93">
            <v>1</v>
          </cell>
          <cell r="H93">
            <v>1</v>
          </cell>
          <cell r="K93">
            <v>56.146290787126091</v>
          </cell>
          <cell r="L93">
            <v>0.08</v>
          </cell>
          <cell r="M93">
            <v>4.4917032629700877</v>
          </cell>
          <cell r="N93">
            <v>60.637994050096182</v>
          </cell>
          <cell r="P93">
            <v>1</v>
          </cell>
          <cell r="AD93">
            <v>4.5877525252525251</v>
          </cell>
          <cell r="AT93">
            <v>0</v>
          </cell>
          <cell r="AV93">
            <v>65.225746575348708</v>
          </cell>
        </row>
        <row r="94">
          <cell r="C94" t="str">
            <v>Custo Total (R$/Hora)</v>
          </cell>
          <cell r="D94"/>
          <cell r="E94"/>
          <cell r="F94">
            <v>36.981382756791078</v>
          </cell>
          <cell r="G94"/>
          <cell r="H94">
            <v>19.164908030335017</v>
          </cell>
          <cell r="I94"/>
          <cell r="J94"/>
          <cell r="O94"/>
          <cell r="P94">
            <v>4.5877525252525251</v>
          </cell>
          <cell r="Q94"/>
          <cell r="R94"/>
          <cell r="S94"/>
          <cell r="T94"/>
          <cell r="U94"/>
          <cell r="V94"/>
          <cell r="W94"/>
          <cell r="X94"/>
          <cell r="Y94"/>
          <cell r="AB94"/>
          <cell r="AC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</row>
        <row r="95">
          <cell r="B95" t="str">
            <v>EQ29</v>
          </cell>
          <cell r="C95" t="str">
            <v>Quantidade</v>
          </cell>
          <cell r="F95">
            <v>1</v>
          </cell>
          <cell r="G95">
            <v>1</v>
          </cell>
          <cell r="H95">
            <v>1</v>
          </cell>
          <cell r="K95">
            <v>91.750370051041656</v>
          </cell>
          <cell r="L95">
            <v>0.08</v>
          </cell>
          <cell r="M95">
            <v>7.340029604083333</v>
          </cell>
          <cell r="N95">
            <v>99.090399655124983</v>
          </cell>
          <cell r="P95">
            <v>1</v>
          </cell>
          <cell r="AD95">
            <v>4.5877525252525251</v>
          </cell>
          <cell r="AT95">
            <v>0</v>
          </cell>
          <cell r="AV95">
            <v>103.67815218037751</v>
          </cell>
        </row>
        <row r="96">
          <cell r="C96" t="str">
            <v>Custo Total (R$/Hora)</v>
          </cell>
          <cell r="D96"/>
          <cell r="E96"/>
          <cell r="F96">
            <v>36.981382756791078</v>
          </cell>
          <cell r="G96">
            <v>35.604079263915573</v>
          </cell>
          <cell r="H96">
            <v>19.164908030335017</v>
          </cell>
          <cell r="I96"/>
          <cell r="J96"/>
          <cell r="O96"/>
          <cell r="P96">
            <v>4.5877525252525251</v>
          </cell>
          <cell r="Q96"/>
          <cell r="R96"/>
          <cell r="S96"/>
          <cell r="T96"/>
          <cell r="U96"/>
          <cell r="V96"/>
          <cell r="W96"/>
          <cell r="X96"/>
          <cell r="Y96"/>
          <cell r="AB96"/>
          <cell r="AC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  <cell r="AQ96"/>
          <cell r="AR96"/>
          <cell r="AS96"/>
        </row>
        <row r="97">
          <cell r="B97" t="str">
            <v>EQ30</v>
          </cell>
          <cell r="C97" t="str">
            <v>Quantidade</v>
          </cell>
          <cell r="G97">
            <v>1</v>
          </cell>
          <cell r="H97">
            <v>1</v>
          </cell>
          <cell r="K97">
            <v>54.768987294250593</v>
          </cell>
          <cell r="L97">
            <v>0.08</v>
          </cell>
          <cell r="M97">
            <v>4.3815189835400474</v>
          </cell>
          <cell r="N97">
            <v>59.15050627779064</v>
          </cell>
          <cell r="Y97">
            <v>1</v>
          </cell>
          <cell r="AD97">
            <v>52.119191919191913</v>
          </cell>
          <cell r="AT97">
            <v>0</v>
          </cell>
          <cell r="AV97">
            <v>111.26969819698255</v>
          </cell>
        </row>
        <row r="98">
          <cell r="C98" t="str">
            <v>Custo Total (R$/Hora)</v>
          </cell>
          <cell r="D98"/>
          <cell r="E98"/>
          <cell r="F98"/>
          <cell r="G98">
            <v>35.604079263915573</v>
          </cell>
          <cell r="H98">
            <v>19.164908030335017</v>
          </cell>
          <cell r="I98"/>
          <cell r="J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>
            <v>52.119191919191913</v>
          </cell>
          <cell r="AB98"/>
          <cell r="AC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</row>
        <row r="99">
          <cell r="B99" t="str">
            <v>EQ31</v>
          </cell>
          <cell r="C99" t="str">
            <v>Quantidade</v>
          </cell>
          <cell r="G99">
            <v>1</v>
          </cell>
          <cell r="H99">
            <v>1</v>
          </cell>
          <cell r="K99">
            <v>54.768987294250593</v>
          </cell>
          <cell r="L99">
            <v>0.08</v>
          </cell>
          <cell r="M99">
            <v>4.3815189835400474</v>
          </cell>
          <cell r="N99">
            <v>59.15050627779064</v>
          </cell>
          <cell r="X99">
            <v>1</v>
          </cell>
          <cell r="AD99">
            <v>22.620833333333334</v>
          </cell>
          <cell r="AT99">
            <v>0</v>
          </cell>
          <cell r="AV99">
            <v>81.771339611123977</v>
          </cell>
        </row>
        <row r="100">
          <cell r="C100" t="str">
            <v>Custo Total (R$/Hora)</v>
          </cell>
          <cell r="D100"/>
          <cell r="E100"/>
          <cell r="F100"/>
          <cell r="G100">
            <v>35.604079263915573</v>
          </cell>
          <cell r="H100">
            <v>19.164908030335017</v>
          </cell>
          <cell r="I100"/>
          <cell r="J100"/>
          <cell r="O100"/>
          <cell r="P100"/>
          <cell r="Q100"/>
          <cell r="R100"/>
          <cell r="S100"/>
          <cell r="T100"/>
          <cell r="U100"/>
          <cell r="V100"/>
          <cell r="W100"/>
          <cell r="X100">
            <v>22.620833333333334</v>
          </cell>
          <cell r="Y100"/>
          <cell r="AB100"/>
          <cell r="AC100"/>
          <cell r="AE100"/>
          <cell r="AF100"/>
          <cell r="AG100"/>
          <cell r="AH100"/>
          <cell r="AI100"/>
          <cell r="AJ100"/>
          <cell r="AK100"/>
          <cell r="AL100"/>
          <cell r="AM100"/>
          <cell r="AN100"/>
          <cell r="AO100"/>
          <cell r="AP100"/>
          <cell r="AQ100"/>
          <cell r="AR100"/>
          <cell r="AS100"/>
        </row>
        <row r="101">
          <cell r="B101" t="str">
            <v>EQ32</v>
          </cell>
          <cell r="C101" t="str">
            <v>Quantidade</v>
          </cell>
          <cell r="K101">
            <v>0</v>
          </cell>
          <cell r="L101">
            <v>0.08</v>
          </cell>
          <cell r="M101">
            <v>0</v>
          </cell>
          <cell r="N101">
            <v>0</v>
          </cell>
          <cell r="AD101">
            <v>0</v>
          </cell>
          <cell r="AT101">
            <v>0</v>
          </cell>
          <cell r="AV101">
            <v>0</v>
          </cell>
        </row>
        <row r="102">
          <cell r="C102" t="str">
            <v>Custo Total (R$/Hora)</v>
          </cell>
          <cell r="D102"/>
          <cell r="E102"/>
          <cell r="F102"/>
          <cell r="G102"/>
          <cell r="H102"/>
          <cell r="I102"/>
          <cell r="J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AB102"/>
          <cell r="AC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</row>
        <row r="105">
          <cell r="B105" t="str">
            <v>EQUIPES COM TURNO</v>
          </cell>
          <cell r="C105" t="str">
            <v>Custo Unitário 6h (R$/Hora)</v>
          </cell>
          <cell r="D105">
            <v>52.209446092530392</v>
          </cell>
          <cell r="E105">
            <v>52.209446092530392</v>
          </cell>
          <cell r="F105">
            <v>46.226728445988854</v>
          </cell>
          <cell r="G105">
            <v>44.505099079894464</v>
          </cell>
          <cell r="H105">
            <v>23.95613503791877</v>
          </cell>
          <cell r="I105">
            <v>79.917436176329048</v>
          </cell>
          <cell r="J105">
            <v>122.94655401402721</v>
          </cell>
          <cell r="K105" t="str">
            <v>Mão de Obra</v>
          </cell>
          <cell r="L105" t="str">
            <v>% EPI + EPC</v>
          </cell>
          <cell r="M105" t="str">
            <v>Custo EPI + EPC</v>
          </cell>
          <cell r="N105" t="str">
            <v>Mão de Obra Total</v>
          </cell>
          <cell r="O105">
            <v>4.4077525252525254</v>
          </cell>
          <cell r="P105">
            <v>4.5877525252525251</v>
          </cell>
          <cell r="Q105">
            <v>5.955303030303031</v>
          </cell>
          <cell r="R105">
            <v>6.7662878787878791</v>
          </cell>
          <cell r="S105">
            <v>12.267676767676768</v>
          </cell>
          <cell r="T105">
            <v>21.484848484848484</v>
          </cell>
          <cell r="U105">
            <v>11.052727272727273</v>
          </cell>
          <cell r="V105">
            <v>2.2656969696969695</v>
          </cell>
          <cell r="W105">
            <v>1.0097676767676769</v>
          </cell>
          <cell r="X105">
            <v>22.620833333333334</v>
          </cell>
          <cell r="Y105">
            <v>52.119191919191913</v>
          </cell>
          <cell r="Z105">
            <v>45.719191919191914</v>
          </cell>
          <cell r="AA105">
            <v>0</v>
          </cell>
          <cell r="AB105">
            <v>0</v>
          </cell>
          <cell r="AC105">
            <v>0</v>
          </cell>
          <cell r="AD105" t="str">
            <v>Veículo</v>
          </cell>
          <cell r="AE105">
            <v>0.51491820377689945</v>
          </cell>
          <cell r="AF105">
            <v>2.6654589371980677</v>
          </cell>
          <cell r="AG105">
            <v>24.231444883618799</v>
          </cell>
          <cell r="AH105">
            <v>28.774840799297323</v>
          </cell>
          <cell r="AI105">
            <v>51.491820377689947</v>
          </cell>
          <cell r="AJ105">
            <v>9.9954710144927539</v>
          </cell>
          <cell r="AK105">
            <v>19.990942028985508</v>
          </cell>
          <cell r="AL105">
            <v>3.6347167325428191E-2</v>
          </cell>
          <cell r="AM105">
            <v>0</v>
          </cell>
          <cell r="AN105">
            <v>18.779369784804569</v>
          </cell>
          <cell r="AO105">
            <v>6.0578612209046998</v>
          </cell>
          <cell r="AP105">
            <v>18.173583662714098</v>
          </cell>
          <cell r="AQ105">
            <v>11.509936319718928</v>
          </cell>
          <cell r="AR105">
            <v>3.0289306104523499</v>
          </cell>
          <cell r="AS105">
            <v>0</v>
          </cell>
          <cell r="AT105" t="str">
            <v>Máquinas</v>
          </cell>
          <cell r="AV105" t="str">
            <v>EQUIPE</v>
          </cell>
        </row>
      </sheetData>
      <sheetData sheetId="4">
        <row r="13">
          <cell r="C13" t="str">
            <v>Veículo Leve Administrativo</v>
          </cell>
          <cell r="D13">
            <v>25000</v>
          </cell>
          <cell r="E13">
            <v>0</v>
          </cell>
          <cell r="F13">
            <v>0</v>
          </cell>
          <cell r="G13">
            <v>4</v>
          </cell>
          <cell r="H13">
            <v>5</v>
          </cell>
          <cell r="I13">
            <v>22000</v>
          </cell>
          <cell r="J13">
            <v>15</v>
          </cell>
          <cell r="K13" t="str">
            <v>Gasolina</v>
          </cell>
          <cell r="L13">
            <v>2.7</v>
          </cell>
          <cell r="M13">
            <v>0.05</v>
          </cell>
          <cell r="N13">
            <v>0.06</v>
          </cell>
          <cell r="O13">
            <v>3000</v>
          </cell>
          <cell r="Q13">
            <v>3960.0000000000005</v>
          </cell>
          <cell r="R13">
            <v>1250</v>
          </cell>
          <cell r="S13">
            <v>1500</v>
          </cell>
          <cell r="T13">
            <v>6513.257575757576</v>
          </cell>
          <cell r="U13">
            <v>13223.257575757576</v>
          </cell>
          <cell r="V13">
            <v>1101.9381313131314</v>
          </cell>
          <cell r="W13">
            <v>4.4077525252525254</v>
          </cell>
        </row>
        <row r="14">
          <cell r="C14" t="str">
            <v>Veículo Leve Operacional</v>
          </cell>
          <cell r="D14">
            <v>25000</v>
          </cell>
          <cell r="E14">
            <v>0</v>
          </cell>
          <cell r="F14">
            <v>0</v>
          </cell>
          <cell r="G14">
            <v>4</v>
          </cell>
          <cell r="H14">
            <v>5</v>
          </cell>
          <cell r="I14">
            <v>25000</v>
          </cell>
          <cell r="J14">
            <v>15</v>
          </cell>
          <cell r="K14" t="str">
            <v>Gasolina</v>
          </cell>
          <cell r="L14">
            <v>2.7</v>
          </cell>
          <cell r="M14">
            <v>0.05</v>
          </cell>
          <cell r="N14">
            <v>0.06</v>
          </cell>
          <cell r="O14">
            <v>3000</v>
          </cell>
          <cell r="Q14">
            <v>4500.0000000000009</v>
          </cell>
          <cell r="R14">
            <v>1250</v>
          </cell>
          <cell r="S14">
            <v>1500</v>
          </cell>
          <cell r="T14">
            <v>6513.257575757576</v>
          </cell>
          <cell r="U14">
            <v>13763.257575757576</v>
          </cell>
          <cell r="V14">
            <v>1146.9381313131314</v>
          </cell>
          <cell r="W14">
            <v>4.5877525252525251</v>
          </cell>
        </row>
        <row r="15">
          <cell r="C15" t="str">
            <v>Veículo Leve tipo Pick-Up</v>
          </cell>
          <cell r="D15">
            <v>30000</v>
          </cell>
          <cell r="E15">
            <v>0</v>
          </cell>
          <cell r="F15">
            <v>0</v>
          </cell>
          <cell r="G15">
            <v>2</v>
          </cell>
          <cell r="H15">
            <v>5</v>
          </cell>
          <cell r="I15">
            <v>25000</v>
          </cell>
          <cell r="J15">
            <v>10</v>
          </cell>
          <cell r="K15" t="str">
            <v>Gasolina</v>
          </cell>
          <cell r="L15">
            <v>2.7</v>
          </cell>
          <cell r="M15">
            <v>0.05</v>
          </cell>
          <cell r="N15">
            <v>0.06</v>
          </cell>
          <cell r="O15">
            <v>3000</v>
          </cell>
          <cell r="Q15">
            <v>6750</v>
          </cell>
          <cell r="R15">
            <v>1500</v>
          </cell>
          <cell r="S15">
            <v>1800</v>
          </cell>
          <cell r="T15">
            <v>7815.909090909091</v>
          </cell>
          <cell r="U15">
            <v>17865.909090909092</v>
          </cell>
          <cell r="V15">
            <v>1488.8257575757577</v>
          </cell>
          <cell r="W15">
            <v>5.955303030303031</v>
          </cell>
        </row>
        <row r="16">
          <cell r="C16" t="str">
            <v>Veículo Médio tipo Pick-Up</v>
          </cell>
          <cell r="D16">
            <v>45000</v>
          </cell>
          <cell r="E16">
            <v>0</v>
          </cell>
          <cell r="F16">
            <v>0</v>
          </cell>
          <cell r="G16">
            <v>2</v>
          </cell>
          <cell r="H16">
            <v>8</v>
          </cell>
          <cell r="I16">
            <v>20000</v>
          </cell>
          <cell r="J16">
            <v>8</v>
          </cell>
          <cell r="K16" t="str">
            <v>Diesel</v>
          </cell>
          <cell r="L16">
            <v>1.9</v>
          </cell>
          <cell r="M16">
            <v>0.1</v>
          </cell>
          <cell r="N16">
            <v>0.06</v>
          </cell>
          <cell r="O16">
            <v>3000</v>
          </cell>
          <cell r="Q16">
            <v>4750</v>
          </cell>
          <cell r="R16">
            <v>4500</v>
          </cell>
          <cell r="S16">
            <v>2700</v>
          </cell>
          <cell r="T16">
            <v>8348.863636363636</v>
          </cell>
          <cell r="U16">
            <v>20298.863636363636</v>
          </cell>
          <cell r="V16">
            <v>1691.5719696969697</v>
          </cell>
          <cell r="W16">
            <v>6.7662878787878791</v>
          </cell>
        </row>
        <row r="17">
          <cell r="C17" t="str">
            <v>Caminhão Leve</v>
          </cell>
          <cell r="D17">
            <v>100000</v>
          </cell>
          <cell r="E17">
            <v>0</v>
          </cell>
          <cell r="F17">
            <v>0</v>
          </cell>
          <cell r="G17">
            <v>3</v>
          </cell>
          <cell r="H17">
            <v>10</v>
          </cell>
          <cell r="I17">
            <v>15000</v>
          </cell>
          <cell r="J17">
            <v>6</v>
          </cell>
          <cell r="K17" t="str">
            <v>Diesel</v>
          </cell>
          <cell r="L17">
            <v>1.9</v>
          </cell>
          <cell r="M17">
            <v>0.1</v>
          </cell>
          <cell r="N17">
            <v>0.06</v>
          </cell>
          <cell r="O17">
            <v>3000</v>
          </cell>
          <cell r="Q17">
            <v>4750</v>
          </cell>
          <cell r="R17">
            <v>10000</v>
          </cell>
          <cell r="S17">
            <v>6000</v>
          </cell>
          <cell r="T17">
            <v>16053.030303030304</v>
          </cell>
          <cell r="U17">
            <v>36803.030303030304</v>
          </cell>
          <cell r="V17">
            <v>3066.9191919191921</v>
          </cell>
          <cell r="W17">
            <v>12.267676767676768</v>
          </cell>
        </row>
        <row r="18">
          <cell r="C18" t="str">
            <v>Caminhão Pesado</v>
          </cell>
          <cell r="D18">
            <v>150000</v>
          </cell>
          <cell r="E18">
            <v>0</v>
          </cell>
          <cell r="F18">
            <v>0</v>
          </cell>
          <cell r="G18">
            <v>3</v>
          </cell>
          <cell r="H18">
            <v>15</v>
          </cell>
          <cell r="I18">
            <v>45000</v>
          </cell>
          <cell r="J18">
            <v>4</v>
          </cell>
          <cell r="K18" t="str">
            <v>Diesel</v>
          </cell>
          <cell r="L18">
            <v>1.9</v>
          </cell>
          <cell r="M18">
            <v>0.1</v>
          </cell>
          <cell r="N18">
            <v>0.06</v>
          </cell>
          <cell r="O18">
            <v>3000</v>
          </cell>
          <cell r="Q18">
            <v>21375</v>
          </cell>
          <cell r="R18">
            <v>15000</v>
          </cell>
          <cell r="S18">
            <v>9000</v>
          </cell>
          <cell r="T18">
            <v>19079.545454545456</v>
          </cell>
          <cell r="U18">
            <v>64454.545454545456</v>
          </cell>
          <cell r="V18">
            <v>5371.212121212121</v>
          </cell>
          <cell r="W18">
            <v>21.484848484848484</v>
          </cell>
        </row>
        <row r="19">
          <cell r="C19" t="str">
            <v>Utilitário - Van</v>
          </cell>
          <cell r="D19">
            <v>45000</v>
          </cell>
          <cell r="E19">
            <v>0</v>
          </cell>
          <cell r="F19">
            <v>0</v>
          </cell>
          <cell r="G19">
            <v>10</v>
          </cell>
          <cell r="H19">
            <v>5</v>
          </cell>
          <cell r="I19">
            <v>15000</v>
          </cell>
          <cell r="J19">
            <v>10</v>
          </cell>
          <cell r="K19" t="str">
            <v>Gasolina</v>
          </cell>
          <cell r="L19">
            <v>2.7</v>
          </cell>
          <cell r="M19">
            <v>0.05</v>
          </cell>
          <cell r="N19">
            <v>0.06</v>
          </cell>
          <cell r="O19">
            <v>1875</v>
          </cell>
          <cell r="Q19">
            <v>4050.0000000000005</v>
          </cell>
          <cell r="R19">
            <v>2250</v>
          </cell>
          <cell r="S19">
            <v>2700</v>
          </cell>
          <cell r="T19">
            <v>11723.863636363636</v>
          </cell>
          <cell r="U19">
            <v>20723.863636363636</v>
          </cell>
          <cell r="V19">
            <v>1726.9886363636363</v>
          </cell>
          <cell r="W19">
            <v>11.052727272727273</v>
          </cell>
        </row>
        <row r="20">
          <cell r="C20" t="str">
            <v>Motocicleta</v>
          </cell>
          <cell r="D20">
            <v>6000</v>
          </cell>
          <cell r="E20">
            <v>0</v>
          </cell>
          <cell r="F20">
            <v>0</v>
          </cell>
          <cell r="G20">
            <v>1</v>
          </cell>
          <cell r="H20">
            <v>5</v>
          </cell>
          <cell r="I20">
            <v>30000</v>
          </cell>
          <cell r="J20">
            <v>40</v>
          </cell>
          <cell r="K20" t="str">
            <v>Gasolina</v>
          </cell>
          <cell r="L20">
            <v>2.7</v>
          </cell>
          <cell r="M20">
            <v>0.05</v>
          </cell>
          <cell r="N20">
            <v>0.06</v>
          </cell>
          <cell r="O20">
            <v>1875</v>
          </cell>
          <cell r="Q20">
            <v>2025.0000000000002</v>
          </cell>
          <cell r="R20">
            <v>300</v>
          </cell>
          <cell r="S20">
            <v>360</v>
          </cell>
          <cell r="T20">
            <v>1563.1818181818182</v>
          </cell>
          <cell r="U20">
            <v>4248.181818181818</v>
          </cell>
          <cell r="V20">
            <v>354.0151515151515</v>
          </cell>
          <cell r="W20">
            <v>2.2656969696969695</v>
          </cell>
        </row>
        <row r="21">
          <cell r="C21" t="str">
            <v>Lancha</v>
          </cell>
          <cell r="D21">
            <v>10000</v>
          </cell>
          <cell r="E21">
            <v>0</v>
          </cell>
          <cell r="F21">
            <v>0</v>
          </cell>
          <cell r="G21">
            <v>4</v>
          </cell>
          <cell r="H21">
            <v>10</v>
          </cell>
          <cell r="I21">
            <v>1200</v>
          </cell>
          <cell r="J21">
            <v>10</v>
          </cell>
          <cell r="K21" t="str">
            <v>Gasolina</v>
          </cell>
          <cell r="L21">
            <v>2.7</v>
          </cell>
          <cell r="M21">
            <v>0.05</v>
          </cell>
          <cell r="N21">
            <v>0.06</v>
          </cell>
          <cell r="O21">
            <v>3000</v>
          </cell>
          <cell r="Q21">
            <v>324</v>
          </cell>
          <cell r="R21">
            <v>500</v>
          </cell>
          <cell r="S21">
            <v>600</v>
          </cell>
          <cell r="T21">
            <v>1605.3030303030305</v>
          </cell>
          <cell r="U21">
            <v>3029.3030303030305</v>
          </cell>
          <cell r="V21">
            <v>252.4419191919192</v>
          </cell>
          <cell r="W21">
            <v>1.0097676767676769</v>
          </cell>
        </row>
        <row r="22">
          <cell r="C22" t="str">
            <v>Caminhão Basculante</v>
          </cell>
          <cell r="D22">
            <v>150000</v>
          </cell>
          <cell r="E22">
            <v>15000</v>
          </cell>
          <cell r="F22">
            <v>0</v>
          </cell>
          <cell r="G22">
            <v>3</v>
          </cell>
          <cell r="H22">
            <v>15</v>
          </cell>
          <cell r="I22">
            <v>45000</v>
          </cell>
          <cell r="J22">
            <v>4</v>
          </cell>
          <cell r="K22" t="str">
            <v>Diesel</v>
          </cell>
          <cell r="L22">
            <v>1.9</v>
          </cell>
          <cell r="M22">
            <v>0.1</v>
          </cell>
          <cell r="N22">
            <v>0.06</v>
          </cell>
          <cell r="O22">
            <v>3000</v>
          </cell>
          <cell r="Q22">
            <v>21375</v>
          </cell>
          <cell r="R22">
            <v>16500</v>
          </cell>
          <cell r="S22">
            <v>9000</v>
          </cell>
          <cell r="T22">
            <v>20987.5</v>
          </cell>
          <cell r="U22">
            <v>67862.5</v>
          </cell>
          <cell r="V22">
            <v>5655.208333333333</v>
          </cell>
          <cell r="W22">
            <v>22.620833333333334</v>
          </cell>
        </row>
        <row r="23">
          <cell r="C23" t="str">
            <v>Caminhão Munck</v>
          </cell>
          <cell r="D23">
            <v>470000</v>
          </cell>
          <cell r="E23">
            <v>0</v>
          </cell>
          <cell r="F23">
            <v>0</v>
          </cell>
          <cell r="G23">
            <v>3</v>
          </cell>
          <cell r="H23">
            <v>15</v>
          </cell>
          <cell r="I23">
            <v>45000</v>
          </cell>
          <cell r="J23">
            <v>4</v>
          </cell>
          <cell r="K23" t="str">
            <v>Diesel</v>
          </cell>
          <cell r="L23">
            <v>1.9</v>
          </cell>
          <cell r="M23">
            <v>0.1</v>
          </cell>
          <cell r="N23">
            <v>0.06</v>
          </cell>
          <cell r="O23">
            <v>3000</v>
          </cell>
          <cell r="Q23">
            <v>21375</v>
          </cell>
          <cell r="R23">
            <v>47000</v>
          </cell>
          <cell r="S23">
            <v>28200</v>
          </cell>
          <cell r="T23">
            <v>59782.57575757576</v>
          </cell>
          <cell r="U23">
            <v>156357.57575757575</v>
          </cell>
          <cell r="V23">
            <v>13029.797979797979</v>
          </cell>
          <cell r="W23">
            <v>52.119191919191913</v>
          </cell>
        </row>
        <row r="24">
          <cell r="C24" t="str">
            <v>Caminhão Pipa</v>
          </cell>
          <cell r="D24">
            <v>150000</v>
          </cell>
          <cell r="E24">
            <v>320000</v>
          </cell>
          <cell r="F24">
            <v>0</v>
          </cell>
          <cell r="G24">
            <v>3</v>
          </cell>
          <cell r="H24">
            <v>15</v>
          </cell>
          <cell r="I24">
            <v>45000</v>
          </cell>
          <cell r="J24">
            <v>4</v>
          </cell>
          <cell r="K24" t="str">
            <v>Diesel</v>
          </cell>
          <cell r="L24">
            <v>1.9</v>
          </cell>
          <cell r="M24">
            <v>0.1</v>
          </cell>
          <cell r="N24">
            <v>0.06</v>
          </cell>
          <cell r="O24">
            <v>3000</v>
          </cell>
          <cell r="Q24">
            <v>21375</v>
          </cell>
          <cell r="R24">
            <v>47000</v>
          </cell>
          <cell r="S24">
            <v>9000</v>
          </cell>
          <cell r="T24">
            <v>59782.57575757576</v>
          </cell>
          <cell r="U24">
            <v>137157.57575757575</v>
          </cell>
          <cell r="V24">
            <v>11429.797979797979</v>
          </cell>
          <cell r="W24">
            <v>45.719191919191914</v>
          </cell>
        </row>
        <row r="25">
          <cell r="E25">
            <v>0</v>
          </cell>
          <cell r="F25">
            <v>0</v>
          </cell>
          <cell r="L25">
            <v>0</v>
          </cell>
          <cell r="O25">
            <v>3000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E26">
            <v>0</v>
          </cell>
          <cell r="F26">
            <v>0</v>
          </cell>
          <cell r="L26">
            <v>0</v>
          </cell>
          <cell r="O26">
            <v>3000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E27">
            <v>0</v>
          </cell>
          <cell r="F27">
            <v>0</v>
          </cell>
          <cell r="L27">
            <v>0</v>
          </cell>
          <cell r="O27">
            <v>3000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33">
          <cell r="C33" t="str">
            <v>Compressor</v>
          </cell>
          <cell r="D33">
            <v>8500</v>
          </cell>
          <cell r="E33">
            <v>0</v>
          </cell>
          <cell r="F33">
            <v>0</v>
          </cell>
          <cell r="H33">
            <v>15</v>
          </cell>
          <cell r="L33">
            <v>0</v>
          </cell>
          <cell r="M33">
            <v>0.03</v>
          </cell>
          <cell r="N33">
            <v>0.01</v>
          </cell>
          <cell r="O33">
            <v>2760</v>
          </cell>
          <cell r="Q33">
            <v>0</v>
          </cell>
          <cell r="R33">
            <v>255</v>
          </cell>
          <cell r="S33">
            <v>85</v>
          </cell>
          <cell r="T33">
            <v>1081.1742424242425</v>
          </cell>
          <cell r="U33">
            <v>1421.1742424242425</v>
          </cell>
          <cell r="V33">
            <v>118.43118686868688</v>
          </cell>
          <cell r="W33">
            <v>0.51491820377689945</v>
          </cell>
        </row>
        <row r="34">
          <cell r="C34" t="str">
            <v>Empilhadeira</v>
          </cell>
          <cell r="D34">
            <v>44000</v>
          </cell>
          <cell r="E34">
            <v>0</v>
          </cell>
          <cell r="F34">
            <v>0</v>
          </cell>
          <cell r="H34">
            <v>15</v>
          </cell>
          <cell r="L34">
            <v>0</v>
          </cell>
          <cell r="M34">
            <v>0.03</v>
          </cell>
          <cell r="N34">
            <v>0.01</v>
          </cell>
          <cell r="O34">
            <v>2760</v>
          </cell>
          <cell r="Q34">
            <v>0</v>
          </cell>
          <cell r="R34">
            <v>1320</v>
          </cell>
          <cell r="S34">
            <v>440</v>
          </cell>
          <cell r="T34">
            <v>5596.666666666667</v>
          </cell>
          <cell r="U34">
            <v>7356.666666666667</v>
          </cell>
          <cell r="V34">
            <v>613.05555555555554</v>
          </cell>
          <cell r="W34">
            <v>2.6654589371980677</v>
          </cell>
        </row>
        <row r="35">
          <cell r="C35" t="str">
            <v>Equipamento de Jato - Desobstrutor</v>
          </cell>
          <cell r="D35">
            <v>400000</v>
          </cell>
          <cell r="E35">
            <v>0</v>
          </cell>
          <cell r="F35">
            <v>0</v>
          </cell>
          <cell r="H35">
            <v>15</v>
          </cell>
          <cell r="L35">
            <v>0</v>
          </cell>
          <cell r="M35">
            <v>0.03</v>
          </cell>
          <cell r="N35">
            <v>0.01</v>
          </cell>
          <cell r="O35">
            <v>2760</v>
          </cell>
          <cell r="Q35">
            <v>0</v>
          </cell>
          <cell r="R35">
            <v>12000</v>
          </cell>
          <cell r="S35">
            <v>4000</v>
          </cell>
          <cell r="T35">
            <v>50878.787878787887</v>
          </cell>
          <cell r="U35">
            <v>66878.787878787887</v>
          </cell>
          <cell r="V35">
            <v>5573.2323232323242</v>
          </cell>
          <cell r="W35">
            <v>24.231444883618799</v>
          </cell>
        </row>
        <row r="36">
          <cell r="C36" t="str">
            <v>Escavadeira</v>
          </cell>
          <cell r="D36">
            <v>475000</v>
          </cell>
          <cell r="E36">
            <v>0</v>
          </cell>
          <cell r="F36">
            <v>0</v>
          </cell>
          <cell r="H36">
            <v>15</v>
          </cell>
          <cell r="L36">
            <v>0</v>
          </cell>
          <cell r="M36">
            <v>0.03</v>
          </cell>
          <cell r="N36">
            <v>0.01</v>
          </cell>
          <cell r="O36">
            <v>2760</v>
          </cell>
          <cell r="Q36">
            <v>0</v>
          </cell>
          <cell r="R36">
            <v>14250</v>
          </cell>
          <cell r="S36">
            <v>4750</v>
          </cell>
          <cell r="T36">
            <v>60418.560606060608</v>
          </cell>
          <cell r="U36">
            <v>79418.560606060608</v>
          </cell>
          <cell r="V36">
            <v>6618.2133838383843</v>
          </cell>
          <cell r="W36">
            <v>28.774840799297323</v>
          </cell>
        </row>
        <row r="37">
          <cell r="C37" t="str">
            <v>Guindaste</v>
          </cell>
          <cell r="D37">
            <v>850000</v>
          </cell>
          <cell r="E37">
            <v>0</v>
          </cell>
          <cell r="F37">
            <v>0</v>
          </cell>
          <cell r="H37">
            <v>15</v>
          </cell>
          <cell r="L37">
            <v>0</v>
          </cell>
          <cell r="M37">
            <v>0.03</v>
          </cell>
          <cell r="N37">
            <v>0.01</v>
          </cell>
          <cell r="O37">
            <v>2760</v>
          </cell>
          <cell r="Q37">
            <v>0</v>
          </cell>
          <cell r="R37">
            <v>25500</v>
          </cell>
          <cell r="S37">
            <v>8500</v>
          </cell>
          <cell r="T37">
            <v>108117.42424242425</v>
          </cell>
          <cell r="U37">
            <v>142117.42424242425</v>
          </cell>
          <cell r="V37">
            <v>11843.118686868687</v>
          </cell>
          <cell r="W37">
            <v>51.491820377689947</v>
          </cell>
        </row>
        <row r="38">
          <cell r="C38" t="str">
            <v>Maquina de Cortar Asfalto</v>
          </cell>
          <cell r="D38">
            <v>165000</v>
          </cell>
          <cell r="E38">
            <v>0</v>
          </cell>
          <cell r="F38">
            <v>0</v>
          </cell>
          <cell r="H38">
            <v>15</v>
          </cell>
          <cell r="L38">
            <v>0</v>
          </cell>
          <cell r="M38">
            <v>0.03</v>
          </cell>
          <cell r="N38">
            <v>0.01</v>
          </cell>
          <cell r="O38">
            <v>2760</v>
          </cell>
          <cell r="Q38">
            <v>0</v>
          </cell>
          <cell r="R38">
            <v>4950</v>
          </cell>
          <cell r="S38">
            <v>1650</v>
          </cell>
          <cell r="T38">
            <v>20987.5</v>
          </cell>
          <cell r="U38">
            <v>27587.5</v>
          </cell>
          <cell r="V38">
            <v>2298.9583333333335</v>
          </cell>
          <cell r="W38">
            <v>9.9954710144927539</v>
          </cell>
        </row>
        <row r="39">
          <cell r="C39" t="str">
            <v>Motoniveladora</v>
          </cell>
          <cell r="D39">
            <v>330000</v>
          </cell>
          <cell r="E39">
            <v>0</v>
          </cell>
          <cell r="F39">
            <v>0</v>
          </cell>
          <cell r="H39">
            <v>15</v>
          </cell>
          <cell r="L39">
            <v>0</v>
          </cell>
          <cell r="M39">
            <v>0.03</v>
          </cell>
          <cell r="N39">
            <v>0.01</v>
          </cell>
          <cell r="O39">
            <v>2760</v>
          </cell>
          <cell r="Q39">
            <v>0</v>
          </cell>
          <cell r="R39">
            <v>9900</v>
          </cell>
          <cell r="S39">
            <v>3300</v>
          </cell>
          <cell r="T39">
            <v>41975</v>
          </cell>
          <cell r="U39">
            <v>55175</v>
          </cell>
          <cell r="V39">
            <v>4597.916666666667</v>
          </cell>
          <cell r="W39">
            <v>19.990942028985508</v>
          </cell>
        </row>
        <row r="40">
          <cell r="C40" t="str">
            <v>Motor Estacionario</v>
          </cell>
          <cell r="D40">
            <v>600</v>
          </cell>
          <cell r="E40">
            <v>0</v>
          </cell>
          <cell r="F40">
            <v>0</v>
          </cell>
          <cell r="H40">
            <v>15</v>
          </cell>
          <cell r="L40">
            <v>0</v>
          </cell>
          <cell r="M40">
            <v>0.03</v>
          </cell>
          <cell r="N40">
            <v>0.01</v>
          </cell>
          <cell r="O40">
            <v>2760</v>
          </cell>
          <cell r="Q40">
            <v>0</v>
          </cell>
          <cell r="R40">
            <v>18</v>
          </cell>
          <cell r="S40">
            <v>6</v>
          </cell>
          <cell r="T40">
            <v>76.318181818181813</v>
          </cell>
          <cell r="U40">
            <v>100.31818181818181</v>
          </cell>
          <cell r="V40">
            <v>8.3598484848484844</v>
          </cell>
          <cell r="W40">
            <v>3.6347167325428191E-2</v>
          </cell>
        </row>
        <row r="41">
          <cell r="C41" t="str">
            <v>Plataforma</v>
          </cell>
          <cell r="E41">
            <v>0</v>
          </cell>
          <cell r="F41">
            <v>0</v>
          </cell>
          <cell r="L41">
            <v>0</v>
          </cell>
          <cell r="M41">
            <v>0.03</v>
          </cell>
          <cell r="N41">
            <v>0.01</v>
          </cell>
          <cell r="O41">
            <v>2760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C42" t="str">
            <v>Retroescavadeira</v>
          </cell>
          <cell r="D42">
            <v>310000</v>
          </cell>
          <cell r="E42">
            <v>0</v>
          </cell>
          <cell r="F42">
            <v>0</v>
          </cell>
          <cell r="H42">
            <v>15</v>
          </cell>
          <cell r="L42">
            <v>0</v>
          </cell>
          <cell r="M42">
            <v>0.03</v>
          </cell>
          <cell r="N42">
            <v>0.01</v>
          </cell>
          <cell r="O42">
            <v>2760</v>
          </cell>
          <cell r="Q42">
            <v>0</v>
          </cell>
          <cell r="R42">
            <v>9300</v>
          </cell>
          <cell r="S42">
            <v>3100</v>
          </cell>
          <cell r="T42">
            <v>39431.060606060608</v>
          </cell>
          <cell r="U42">
            <v>51831.060606060608</v>
          </cell>
          <cell r="V42">
            <v>4319.2550505050503</v>
          </cell>
          <cell r="W42">
            <v>18.779369784804569</v>
          </cell>
        </row>
        <row r="43">
          <cell r="C43" t="str">
            <v>Trator</v>
          </cell>
          <cell r="D43">
            <v>100000</v>
          </cell>
          <cell r="E43">
            <v>0</v>
          </cell>
          <cell r="F43">
            <v>0</v>
          </cell>
          <cell r="H43">
            <v>15</v>
          </cell>
          <cell r="L43">
            <v>0</v>
          </cell>
          <cell r="M43">
            <v>0.03</v>
          </cell>
          <cell r="N43">
            <v>0.01</v>
          </cell>
          <cell r="O43">
            <v>2760</v>
          </cell>
          <cell r="Q43">
            <v>0</v>
          </cell>
          <cell r="R43">
            <v>3000</v>
          </cell>
          <cell r="S43">
            <v>1000</v>
          </cell>
          <cell r="T43">
            <v>12719.696969696972</v>
          </cell>
          <cell r="U43">
            <v>16719.696969696972</v>
          </cell>
          <cell r="V43">
            <v>1393.3080808080811</v>
          </cell>
          <cell r="W43">
            <v>6.0578612209046998</v>
          </cell>
        </row>
        <row r="44">
          <cell r="C44" t="str">
            <v>Trator Esteira</v>
          </cell>
          <cell r="D44">
            <v>300000</v>
          </cell>
          <cell r="E44">
            <v>0</v>
          </cell>
          <cell r="F44">
            <v>0</v>
          </cell>
          <cell r="H44">
            <v>15</v>
          </cell>
          <cell r="L44">
            <v>0</v>
          </cell>
          <cell r="M44">
            <v>0.03</v>
          </cell>
          <cell r="N44">
            <v>0.01</v>
          </cell>
          <cell r="O44">
            <v>2760</v>
          </cell>
          <cell r="Q44">
            <v>0</v>
          </cell>
          <cell r="R44">
            <v>9000</v>
          </cell>
          <cell r="S44">
            <v>3000</v>
          </cell>
          <cell r="T44">
            <v>38159.090909090912</v>
          </cell>
          <cell r="U44">
            <v>50159.090909090912</v>
          </cell>
          <cell r="V44">
            <v>4179.9242424242429</v>
          </cell>
          <cell r="W44">
            <v>18.173583662714098</v>
          </cell>
        </row>
        <row r="45">
          <cell r="C45" t="str">
            <v>Trator Roçadeira</v>
          </cell>
          <cell r="D45">
            <v>190000</v>
          </cell>
          <cell r="E45">
            <v>0</v>
          </cell>
          <cell r="F45">
            <v>0</v>
          </cell>
          <cell r="H45">
            <v>15</v>
          </cell>
          <cell r="L45">
            <v>0</v>
          </cell>
          <cell r="M45">
            <v>0.03</v>
          </cell>
          <cell r="N45">
            <v>0.01</v>
          </cell>
          <cell r="O45">
            <v>2760</v>
          </cell>
          <cell r="Q45">
            <v>0</v>
          </cell>
          <cell r="R45">
            <v>5700</v>
          </cell>
          <cell r="S45">
            <v>1900</v>
          </cell>
          <cell r="T45">
            <v>24167.424242424244</v>
          </cell>
          <cell r="U45">
            <v>31767.424242424244</v>
          </cell>
          <cell r="V45">
            <v>2647.2853535353538</v>
          </cell>
          <cell r="W45">
            <v>11.509936319718928</v>
          </cell>
        </row>
        <row r="46">
          <cell r="C46" t="str">
            <v>Caminhão Limpa Fossa</v>
          </cell>
          <cell r="D46">
            <v>50000</v>
          </cell>
          <cell r="E46">
            <v>0</v>
          </cell>
          <cell r="F46">
            <v>0</v>
          </cell>
          <cell r="H46">
            <v>15</v>
          </cell>
          <cell r="L46">
            <v>0</v>
          </cell>
          <cell r="M46">
            <v>0.03</v>
          </cell>
          <cell r="N46">
            <v>0.01</v>
          </cell>
          <cell r="O46">
            <v>2760</v>
          </cell>
          <cell r="Q46">
            <v>0</v>
          </cell>
          <cell r="R46">
            <v>1500</v>
          </cell>
          <cell r="S46">
            <v>500</v>
          </cell>
          <cell r="T46">
            <v>6359.8484848484859</v>
          </cell>
          <cell r="U46">
            <v>8359.8484848484859</v>
          </cell>
          <cell r="V46">
            <v>696.65404040404053</v>
          </cell>
          <cell r="W46">
            <v>3.0289306104523499</v>
          </cell>
        </row>
        <row r="47">
          <cell r="E47">
            <v>0</v>
          </cell>
          <cell r="F47">
            <v>0</v>
          </cell>
          <cell r="L47">
            <v>0</v>
          </cell>
          <cell r="M47">
            <v>0.03</v>
          </cell>
          <cell r="N47">
            <v>0.01</v>
          </cell>
          <cell r="O47">
            <v>2760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</sheetData>
      <sheetData sheetId="5">
        <row r="457">
          <cell r="D457">
            <v>10</v>
          </cell>
        </row>
        <row r="458">
          <cell r="D458">
            <v>0.95</v>
          </cell>
        </row>
      </sheetData>
      <sheetData sheetId="6">
        <row r="9">
          <cell r="D9">
            <v>16.821443846765277</v>
          </cell>
          <cell r="I9">
            <v>12.5</v>
          </cell>
        </row>
        <row r="10">
          <cell r="D10">
            <v>9.387105</v>
          </cell>
          <cell r="I10">
            <v>9.387105</v>
          </cell>
        </row>
        <row r="11">
          <cell r="D11">
            <v>9.387105</v>
          </cell>
        </row>
        <row r="12">
          <cell r="D12">
            <v>9.387105</v>
          </cell>
          <cell r="I12">
            <v>10</v>
          </cell>
        </row>
        <row r="13">
          <cell r="D13">
            <v>10</v>
          </cell>
          <cell r="I13">
            <v>10</v>
          </cell>
        </row>
        <row r="14">
          <cell r="D14">
            <v>5</v>
          </cell>
        </row>
        <row r="15">
          <cell r="D15">
            <v>2.4488099999999999</v>
          </cell>
          <cell r="I15">
            <v>10</v>
          </cell>
        </row>
        <row r="16">
          <cell r="D16">
            <v>6.4135499999999999</v>
          </cell>
          <cell r="I16">
            <v>10</v>
          </cell>
        </row>
        <row r="17">
          <cell r="D17">
            <v>147.25972741978148</v>
          </cell>
        </row>
        <row r="18">
          <cell r="D18">
            <v>68.109899858415858</v>
          </cell>
        </row>
        <row r="19">
          <cell r="D19">
            <v>33.765986229574423</v>
          </cell>
        </row>
        <row r="20">
          <cell r="D20">
            <v>0.05</v>
          </cell>
        </row>
        <row r="21">
          <cell r="D21">
            <v>50</v>
          </cell>
        </row>
        <row r="22">
          <cell r="D22">
            <v>100</v>
          </cell>
        </row>
        <row r="23">
          <cell r="D23">
            <v>6</v>
          </cell>
        </row>
        <row r="33">
          <cell r="E33">
            <v>8</v>
          </cell>
        </row>
        <row r="34">
          <cell r="E34">
            <v>8</v>
          </cell>
        </row>
        <row r="35">
          <cell r="E35">
            <v>5</v>
          </cell>
        </row>
        <row r="36">
          <cell r="E36">
            <v>5</v>
          </cell>
        </row>
        <row r="43">
          <cell r="D43">
            <v>1500</v>
          </cell>
        </row>
        <row r="44">
          <cell r="D44">
            <v>2500</v>
          </cell>
        </row>
      </sheetData>
      <sheetData sheetId="7">
        <row r="9">
          <cell r="C9" t="str">
            <v>Poli Aniônico (Agua)</v>
          </cell>
          <cell r="D9">
            <v>15.89</v>
          </cell>
        </row>
        <row r="10">
          <cell r="C10" t="str">
            <v>Carvão Ativado em Pó</v>
          </cell>
          <cell r="D10">
            <v>0</v>
          </cell>
        </row>
        <row r="11">
          <cell r="C11" t="str">
            <v>Permanganato de Potássio</v>
          </cell>
          <cell r="D11">
            <v>0</v>
          </cell>
        </row>
        <row r="12">
          <cell r="C12" t="str">
            <v>Cal Hidratada (Agua)</v>
          </cell>
          <cell r="D12">
            <v>0.30399999999999999</v>
          </cell>
        </row>
        <row r="13">
          <cell r="C13" t="str">
            <v>Cal Virgem (Agua)</v>
          </cell>
          <cell r="D13">
            <v>0.28100000000000003</v>
          </cell>
        </row>
        <row r="14">
          <cell r="C14" t="str">
            <v>Ácido Fluossilícico</v>
          </cell>
          <cell r="D14">
            <v>0.58099999999999996</v>
          </cell>
        </row>
        <row r="15">
          <cell r="C15" t="str">
            <v>Cloro Gasoso (ETA)</v>
          </cell>
          <cell r="D15">
            <v>3.93</v>
          </cell>
        </row>
        <row r="16">
          <cell r="C16" t="str">
            <v>Cloro Gasoso (UTS)</v>
          </cell>
          <cell r="D16">
            <v>4.5</v>
          </cell>
        </row>
        <row r="17">
          <cell r="C17" t="str">
            <v>Hipoclorito de Sódio</v>
          </cell>
          <cell r="D17">
            <v>1.77</v>
          </cell>
        </row>
        <row r="18">
          <cell r="C18" t="str">
            <v>Policloreto de Alumínio - PAC (Coagulante)</v>
          </cell>
          <cell r="D18">
            <v>1.399</v>
          </cell>
        </row>
        <row r="19">
          <cell r="C19" t="str">
            <v>Sulfato Al Liq. (Coagulante)</v>
          </cell>
          <cell r="D19">
            <v>0.51600000000000001</v>
          </cell>
        </row>
        <row r="20">
          <cell r="C20" t="str">
            <v>Carbonato de Sodio</v>
          </cell>
          <cell r="D20">
            <v>2.35</v>
          </cell>
        </row>
        <row r="21">
          <cell r="C21" t="str">
            <v>Fluorssilicato de Sódio</v>
          </cell>
          <cell r="D21">
            <v>2.4300000000000002</v>
          </cell>
        </row>
        <row r="22">
          <cell r="C22" t="str">
            <v>Tricloro</v>
          </cell>
          <cell r="D22">
            <v>12.6</v>
          </cell>
        </row>
        <row r="23">
          <cell r="C23" t="str">
            <v>Poli Prensa (Lodo)</v>
          </cell>
          <cell r="D23">
            <v>11.99</v>
          </cell>
        </row>
        <row r="24">
          <cell r="C24" t="str">
            <v>Poli Centrífuga (Lodo)</v>
          </cell>
          <cell r="D24">
            <v>11.74</v>
          </cell>
        </row>
        <row r="25">
          <cell r="C25" t="str">
            <v>Poli Aniônico (Esgoto)</v>
          </cell>
          <cell r="D25">
            <v>10.8</v>
          </cell>
        </row>
        <row r="26">
          <cell r="C26" t="str">
            <v>Sulfato Al (Coagulante)</v>
          </cell>
          <cell r="D26">
            <v>0.41</v>
          </cell>
        </row>
        <row r="27">
          <cell r="C27" t="str">
            <v>Cloreto Férrico (Coagulante)</v>
          </cell>
          <cell r="D27">
            <v>0.72</v>
          </cell>
        </row>
        <row r="28">
          <cell r="C28" t="str">
            <v>Cal (Esgoto)</v>
          </cell>
          <cell r="D28">
            <v>0.21</v>
          </cell>
        </row>
        <row r="29">
          <cell r="C29" t="str">
            <v>Clorocal</v>
          </cell>
          <cell r="D29">
            <v>2.95</v>
          </cell>
        </row>
        <row r="32">
          <cell r="D32">
            <v>15.1</v>
          </cell>
        </row>
        <row r="33">
          <cell r="D33">
            <v>0.2</v>
          </cell>
        </row>
        <row r="34">
          <cell r="D34">
            <v>15</v>
          </cell>
        </row>
        <row r="86">
          <cell r="J86">
            <v>0.49689394445730495</v>
          </cell>
        </row>
      </sheetData>
      <sheetData sheetId="8">
        <row r="8">
          <cell r="D8">
            <v>15.1</v>
          </cell>
        </row>
        <row r="9">
          <cell r="D9">
            <v>0.2</v>
          </cell>
        </row>
        <row r="10">
          <cell r="D10">
            <v>5</v>
          </cell>
        </row>
        <row r="176">
          <cell r="M176">
            <v>0.25023519583894582</v>
          </cell>
        </row>
      </sheetData>
      <sheetData sheetId="9"/>
      <sheetData sheetId="10">
        <row r="26">
          <cell r="J26">
            <v>496222</v>
          </cell>
          <cell r="L26">
            <v>6.1499999999999999E-2</v>
          </cell>
        </row>
        <row r="39">
          <cell r="J39">
            <v>402990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D9">
            <v>3319.1813750684933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"/>
      <sheetName val="Recebidos"/>
      <sheetName val="Rec. 2010"/>
      <sheetName val="Rec. 2011"/>
      <sheetName val="Rec. 2013"/>
      <sheetName val="Desp. 2010"/>
      <sheetName val="Desp. 2011"/>
      <sheetName val="Desp. 2012"/>
      <sheetName val="Verificar_Desp. 2013"/>
      <sheetName val="Verificar_Desp 2012"/>
      <sheetName val="Verificar_Rec. 201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ão Relatótio"/>
      <sheetName val="Final"/>
      <sheetName val="Controle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erc"/>
      <sheetName val="Kterc (2)"/>
      <sheetName val="Final"/>
      <sheetName val="Controle"/>
      <sheetName val="BETA (2)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  <sheetName val="Fat T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>
        <row r="6">
          <cell r="E6">
            <v>5.0370069444444434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>
    <tabColor theme="1"/>
  </sheetPr>
  <dimension ref="A1:M7"/>
  <sheetViews>
    <sheetView showGridLines="0" zoomScale="90" zoomScaleNormal="90" workbookViewId="0">
      <selection activeCell="F10" sqref="F10"/>
    </sheetView>
  </sheetViews>
  <sheetFormatPr defaultRowHeight="15" x14ac:dyDescent="0.25"/>
  <cols>
    <col min="1" max="1" width="4.7109375" style="33" customWidth="1"/>
    <col min="2" max="2" width="55.42578125" style="33" bestFit="1" customWidth="1"/>
    <col min="3" max="3" width="25.140625" style="33" bestFit="1" customWidth="1"/>
    <col min="4" max="4" width="2.28515625" style="33" customWidth="1"/>
    <col min="5" max="5" width="20.140625" style="33" customWidth="1"/>
    <col min="6" max="6" width="25.28515625" style="33" bestFit="1" customWidth="1"/>
    <col min="7" max="7" width="14.42578125" style="33" bestFit="1" customWidth="1"/>
    <col min="10" max="10" width="17.42578125" bestFit="1" customWidth="1"/>
    <col min="13" max="13" width="13.140625" bestFit="1" customWidth="1"/>
  </cols>
  <sheetData>
    <row r="1" spans="1:13" s="33" customFormat="1" ht="14.25" x14ac:dyDescent="0.25"/>
    <row r="2" spans="1:13" s="33" customFormat="1" ht="14.25" x14ac:dyDescent="0.25"/>
    <row r="3" spans="1:13" s="33" customFormat="1" ht="18.75" customHeight="1" x14ac:dyDescent="0.25">
      <c r="B3" s="375" t="s">
        <v>0</v>
      </c>
      <c r="C3" s="375"/>
      <c r="D3" s="375"/>
      <c r="E3" s="375"/>
      <c r="F3" s="375"/>
      <c r="G3" s="375"/>
    </row>
    <row r="4" spans="1:13" s="33" customFormat="1" ht="28.5" customHeight="1" x14ac:dyDescent="0.25">
      <c r="M4" s="63"/>
    </row>
    <row r="5" spans="1:13" x14ac:dyDescent="0.25">
      <c r="A5"/>
      <c r="C5" s="36"/>
      <c r="D5"/>
      <c r="E5"/>
      <c r="F5"/>
      <c r="G5"/>
    </row>
    <row r="6" spans="1:13" x14ac:dyDescent="0.25">
      <c r="A6"/>
      <c r="C6" s="35"/>
      <c r="D6"/>
      <c r="E6"/>
      <c r="F6"/>
      <c r="G6"/>
    </row>
    <row r="7" spans="1:13" x14ac:dyDescent="0.25">
      <c r="A7"/>
      <c r="C7" s="35"/>
      <c r="D7"/>
      <c r="E7"/>
      <c r="F7"/>
      <c r="G7"/>
    </row>
  </sheetData>
  <mergeCells count="1">
    <mergeCell ref="B3:G3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F8AA0-887A-4678-8F17-FB758A0554A6}">
  <sheetPr>
    <tabColor theme="9" tint="0.59999389629810485"/>
  </sheetPr>
  <dimension ref="A1:J96"/>
  <sheetViews>
    <sheetView topLeftCell="A19" zoomScale="90" zoomScaleNormal="90" workbookViewId="0">
      <selection activeCell="E12" sqref="E12"/>
    </sheetView>
  </sheetViews>
  <sheetFormatPr defaultColWidth="0" defaultRowHeight="0" customHeight="1" zeroHeight="1" outlineLevelRow="1" x14ac:dyDescent="0.25"/>
  <cols>
    <col min="1" max="1" width="2.28515625" style="116" customWidth="1"/>
    <col min="2" max="2" width="1.42578125" style="116" customWidth="1"/>
    <col min="3" max="3" width="2.140625" style="116" customWidth="1"/>
    <col min="4" max="4" width="65.85546875" style="116" bestFit="1" customWidth="1"/>
    <col min="5" max="5" width="17" style="116" customWidth="1"/>
    <col min="6" max="6" width="2.140625" style="116" customWidth="1"/>
    <col min="7" max="7" width="1.42578125" style="116" customWidth="1"/>
    <col min="8" max="8" width="7.42578125" style="116" customWidth="1"/>
    <col min="9" max="10" width="0" style="116" hidden="1" customWidth="1"/>
    <col min="11" max="16384" width="9.140625" style="116" hidden="1"/>
  </cols>
  <sheetData>
    <row r="1" spans="2:9" ht="9" customHeight="1" x14ac:dyDescent="0.25"/>
    <row r="2" spans="2:9" ht="20.25" x14ac:dyDescent="0.3">
      <c r="C2" s="270"/>
      <c r="D2" s="271" t="s">
        <v>266</v>
      </c>
      <c r="E2" s="270"/>
      <c r="F2" s="270"/>
      <c r="G2" s="270"/>
      <c r="H2" s="272"/>
      <c r="I2" s="272"/>
    </row>
    <row r="3" spans="2:9" ht="20.25" x14ac:dyDescent="0.3">
      <c r="C3" s="270"/>
      <c r="D3" s="271" t="s">
        <v>267</v>
      </c>
      <c r="E3" s="270"/>
      <c r="F3" s="270"/>
      <c r="G3" s="270"/>
      <c r="H3" s="272"/>
      <c r="I3" s="272"/>
    </row>
    <row r="4" spans="2:9" ht="20.25" x14ac:dyDescent="0.3">
      <c r="C4" s="270"/>
      <c r="D4" s="273" t="s">
        <v>261</v>
      </c>
      <c r="E4" s="270"/>
      <c r="F4" s="270"/>
      <c r="G4" s="270"/>
      <c r="H4" s="272"/>
      <c r="I4" s="272"/>
    </row>
    <row r="5" spans="2:9" ht="8.4499999999999993" customHeight="1" x14ac:dyDescent="0.3">
      <c r="C5" s="270"/>
      <c r="D5" s="274"/>
      <c r="E5" s="275"/>
      <c r="F5" s="270"/>
      <c r="G5" s="270"/>
      <c r="H5" s="276"/>
      <c r="I5" s="276"/>
    </row>
    <row r="6" spans="2:9" ht="15" customHeight="1" x14ac:dyDescent="0.3">
      <c r="C6" s="272"/>
      <c r="D6" s="277"/>
      <c r="E6" s="278"/>
      <c r="F6" s="272"/>
      <c r="H6" s="276"/>
      <c r="I6" s="276"/>
    </row>
    <row r="7" spans="2:9" ht="4.9000000000000004" customHeight="1" x14ac:dyDescent="0.25">
      <c r="B7" s="279"/>
      <c r="C7" s="280"/>
      <c r="D7" s="281"/>
      <c r="E7" s="281"/>
      <c r="F7" s="280"/>
      <c r="G7" s="282"/>
      <c r="H7" s="276"/>
      <c r="I7" s="276"/>
    </row>
    <row r="8" spans="2:9" ht="15" x14ac:dyDescent="0.25">
      <c r="B8" s="283"/>
      <c r="C8" s="471" t="s">
        <v>261</v>
      </c>
      <c r="D8" s="471"/>
      <c r="E8" s="471"/>
      <c r="F8" s="471"/>
      <c r="G8" s="284"/>
      <c r="H8" s="276"/>
      <c r="I8" s="276"/>
    </row>
    <row r="9" spans="2:9" ht="7.9" customHeight="1" thickBot="1" x14ac:dyDescent="0.3">
      <c r="B9" s="283"/>
      <c r="D9" s="285"/>
      <c r="E9" s="286"/>
      <c r="G9" s="284"/>
      <c r="H9" s="285"/>
      <c r="I9" s="285"/>
    </row>
    <row r="10" spans="2:9" ht="9" customHeight="1" x14ac:dyDescent="0.25">
      <c r="B10" s="283"/>
      <c r="C10" s="287"/>
      <c r="D10" s="288"/>
      <c r="E10" s="288"/>
      <c r="F10" s="289"/>
      <c r="G10" s="284"/>
      <c r="H10" s="276"/>
      <c r="I10" s="276"/>
    </row>
    <row r="11" spans="2:9" ht="15" outlineLevel="1" x14ac:dyDescent="0.25">
      <c r="B11" s="283"/>
      <c r="C11" s="290"/>
      <c r="D11" s="291" t="s">
        <v>268</v>
      </c>
      <c r="E11" s="292" t="s">
        <v>269</v>
      </c>
      <c r="F11" s="293"/>
      <c r="G11" s="284"/>
      <c r="H11" s="285"/>
      <c r="I11" s="285"/>
    </row>
    <row r="12" spans="2:9" ht="6" customHeight="1" outlineLevel="1" x14ac:dyDescent="0.25">
      <c r="B12" s="283"/>
      <c r="C12" s="290"/>
      <c r="D12" s="285"/>
      <c r="E12" s="285"/>
      <c r="F12" s="293"/>
      <c r="G12" s="284"/>
      <c r="H12" s="285"/>
      <c r="I12" s="285"/>
    </row>
    <row r="13" spans="2:9" ht="15" outlineLevel="1" x14ac:dyDescent="0.25">
      <c r="B13" s="283"/>
      <c r="C13" s="290"/>
      <c r="D13" s="294" t="s">
        <v>270</v>
      </c>
      <c r="E13" s="295">
        <v>8745137.3760000002</v>
      </c>
      <c r="F13" s="293"/>
      <c r="G13" s="284"/>
      <c r="H13" s="285"/>
      <c r="I13" s="285"/>
    </row>
    <row r="14" spans="2:9" ht="15" outlineLevel="1" x14ac:dyDescent="0.25">
      <c r="B14" s="283"/>
      <c r="C14" s="290"/>
      <c r="D14" s="296" t="s">
        <v>271</v>
      </c>
      <c r="E14" s="295">
        <v>17715101.848200001</v>
      </c>
      <c r="F14" s="293"/>
      <c r="G14" s="284"/>
      <c r="H14" s="285"/>
      <c r="I14" s="285"/>
    </row>
    <row r="15" spans="2:9" ht="15" outlineLevel="1" x14ac:dyDescent="0.25">
      <c r="B15" s="283"/>
      <c r="C15" s="290"/>
      <c r="D15" s="296" t="s">
        <v>272</v>
      </c>
      <c r="E15" s="295">
        <v>56285625.59549053</v>
      </c>
      <c r="F15" s="293"/>
      <c r="G15" s="284"/>
      <c r="H15" s="285"/>
      <c r="I15" s="285"/>
    </row>
    <row r="16" spans="2:9" ht="15" outlineLevel="1" x14ac:dyDescent="0.25">
      <c r="B16" s="283"/>
      <c r="C16" s="290"/>
      <c r="D16" s="296" t="s">
        <v>273</v>
      </c>
      <c r="E16" s="295">
        <v>60000</v>
      </c>
      <c r="F16" s="293"/>
      <c r="G16" s="284"/>
      <c r="H16" s="285"/>
      <c r="I16" s="285"/>
    </row>
    <row r="17" spans="2:9" ht="15" outlineLevel="1" x14ac:dyDescent="0.25">
      <c r="B17" s="283"/>
      <c r="C17" s="290"/>
      <c r="D17" s="296" t="s">
        <v>274</v>
      </c>
      <c r="E17" s="295">
        <v>7210047.9100000001</v>
      </c>
      <c r="F17" s="293"/>
      <c r="G17" s="284"/>
      <c r="H17" s="285"/>
      <c r="I17" s="285"/>
    </row>
    <row r="18" spans="2:9" ht="15" outlineLevel="1" x14ac:dyDescent="0.25">
      <c r="B18" s="283"/>
      <c r="C18" s="290"/>
      <c r="D18" s="296" t="s">
        <v>275</v>
      </c>
      <c r="E18" s="297">
        <v>-5.6000000000000001E-2</v>
      </c>
      <c r="F18" s="293"/>
      <c r="G18" s="284"/>
      <c r="H18" s="285"/>
      <c r="I18" s="285"/>
    </row>
    <row r="19" spans="2:9" ht="6" customHeight="1" outlineLevel="1" thickBot="1" x14ac:dyDescent="0.3">
      <c r="B19" s="283"/>
      <c r="C19" s="290"/>
      <c r="D19" s="285"/>
      <c r="E19" s="285"/>
      <c r="F19" s="293"/>
      <c r="G19" s="284"/>
      <c r="H19" s="285"/>
      <c r="I19" s="285"/>
    </row>
    <row r="20" spans="2:9" ht="15" x14ac:dyDescent="0.25">
      <c r="B20" s="283"/>
      <c r="C20" s="290"/>
      <c r="D20" s="298" t="s">
        <v>276</v>
      </c>
      <c r="E20" s="299">
        <f>SUM(E13:E17)*(1+E18)</f>
        <v>84975021.616827846</v>
      </c>
      <c r="F20" s="293"/>
      <c r="G20" s="284"/>
      <c r="H20" s="285"/>
      <c r="I20" s="285"/>
    </row>
    <row r="21" spans="2:9" ht="7.5" customHeight="1" x14ac:dyDescent="0.25">
      <c r="B21" s="283"/>
      <c r="C21" s="290"/>
      <c r="D21" s="285"/>
      <c r="E21" s="286"/>
      <c r="F21" s="293"/>
      <c r="G21" s="284"/>
      <c r="H21" s="285"/>
      <c r="I21" s="285"/>
    </row>
    <row r="22" spans="2:9" ht="15" outlineLevel="1" x14ac:dyDescent="0.25">
      <c r="B22" s="283"/>
      <c r="C22" s="290"/>
      <c r="D22" s="291" t="s">
        <v>277</v>
      </c>
      <c r="E22" s="292" t="s">
        <v>269</v>
      </c>
      <c r="F22" s="293"/>
      <c r="G22" s="284"/>
      <c r="H22" s="285"/>
      <c r="I22" s="285"/>
    </row>
    <row r="23" spans="2:9" ht="6" customHeight="1" outlineLevel="1" x14ac:dyDescent="0.25">
      <c r="B23" s="283"/>
      <c r="C23" s="290"/>
      <c r="D23" s="285"/>
      <c r="E23" s="285"/>
      <c r="F23" s="293"/>
      <c r="G23" s="284"/>
      <c r="H23" s="285"/>
      <c r="I23" s="285"/>
    </row>
    <row r="24" spans="2:9" ht="15" outlineLevel="1" x14ac:dyDescent="0.25">
      <c r="B24" s="283"/>
      <c r="C24" s="290"/>
      <c r="D24" s="300" t="s">
        <v>278</v>
      </c>
      <c r="E24" s="301">
        <f>SUM(E25:E31)</f>
        <v>1052594893.9816717</v>
      </c>
      <c r="F24" s="293"/>
      <c r="G24" s="284"/>
      <c r="H24" s="285"/>
      <c r="I24" s="285"/>
    </row>
    <row r="25" spans="2:9" ht="15" outlineLevel="1" x14ac:dyDescent="0.25">
      <c r="B25" s="283"/>
      <c r="C25" s="290"/>
      <c r="D25" s="303" t="s">
        <v>279</v>
      </c>
      <c r="E25" s="295">
        <v>545977869.68037164</v>
      </c>
      <c r="F25" s="293"/>
      <c r="G25" s="284"/>
      <c r="H25" s="285"/>
      <c r="I25" s="285"/>
    </row>
    <row r="26" spans="2:9" ht="15" outlineLevel="1" x14ac:dyDescent="0.25">
      <c r="B26" s="283"/>
      <c r="C26" s="290"/>
      <c r="D26" s="303" t="s">
        <v>280</v>
      </c>
      <c r="E26" s="295">
        <v>269525064.10340005</v>
      </c>
      <c r="F26" s="293"/>
      <c r="G26" s="284"/>
      <c r="H26" s="285"/>
      <c r="I26" s="285"/>
    </row>
    <row r="27" spans="2:9" ht="15" outlineLevel="1" x14ac:dyDescent="0.25">
      <c r="B27" s="283"/>
      <c r="C27" s="290"/>
      <c r="D27" s="303" t="s">
        <v>281</v>
      </c>
      <c r="E27" s="295">
        <v>77387004.115399957</v>
      </c>
      <c r="F27" s="293"/>
      <c r="G27" s="284"/>
      <c r="H27" s="285"/>
      <c r="I27" s="285"/>
    </row>
    <row r="28" spans="2:9" ht="15" outlineLevel="1" x14ac:dyDescent="0.25">
      <c r="B28" s="283"/>
      <c r="C28" s="290"/>
      <c r="D28" s="303" t="s">
        <v>282</v>
      </c>
      <c r="E28" s="295">
        <v>3148267.4724999992</v>
      </c>
      <c r="F28" s="293"/>
      <c r="G28" s="284"/>
      <c r="H28" s="285"/>
      <c r="I28" s="285"/>
    </row>
    <row r="29" spans="2:9" ht="15" outlineLevel="1" x14ac:dyDescent="0.25">
      <c r="B29" s="283"/>
      <c r="C29" s="290"/>
      <c r="D29" s="303" t="s">
        <v>283</v>
      </c>
      <c r="E29" s="295">
        <v>5033751.62</v>
      </c>
      <c r="F29" s="293"/>
      <c r="G29" s="284"/>
      <c r="H29" s="285"/>
      <c r="I29" s="285"/>
    </row>
    <row r="30" spans="2:9" ht="15" outlineLevel="1" x14ac:dyDescent="0.25">
      <c r="B30" s="283"/>
      <c r="C30" s="290"/>
      <c r="D30" s="303" t="s">
        <v>284</v>
      </c>
      <c r="E30" s="295">
        <v>7536551.1500000004</v>
      </c>
      <c r="F30" s="293"/>
      <c r="G30" s="284"/>
      <c r="H30" s="285"/>
      <c r="I30" s="285"/>
    </row>
    <row r="31" spans="2:9" ht="15" outlineLevel="1" x14ac:dyDescent="0.25">
      <c r="B31" s="283"/>
      <c r="C31" s="290"/>
      <c r="D31" s="303" t="s">
        <v>285</v>
      </c>
      <c r="E31" s="295">
        <v>143986385.84</v>
      </c>
      <c r="F31" s="293"/>
      <c r="G31" s="284"/>
      <c r="H31" s="285"/>
      <c r="I31" s="285"/>
    </row>
    <row r="32" spans="2:9" ht="6" customHeight="1" outlineLevel="1" x14ac:dyDescent="0.25">
      <c r="B32" s="283"/>
      <c r="C32" s="290"/>
      <c r="D32" s="285"/>
      <c r="E32" s="285"/>
      <c r="F32" s="293"/>
      <c r="G32" s="284"/>
      <c r="H32" s="285"/>
      <c r="I32" s="285"/>
    </row>
    <row r="33" spans="2:9" ht="15" outlineLevel="1" x14ac:dyDescent="0.25">
      <c r="B33" s="283"/>
      <c r="C33" s="290"/>
      <c r="D33" s="300" t="s">
        <v>286</v>
      </c>
      <c r="E33" s="301">
        <v>12110982.206001911</v>
      </c>
      <c r="F33" s="293"/>
      <c r="G33" s="284">
        <f>SUM(E26,E28,E29,E30,E33)</f>
        <v>297354616.551902</v>
      </c>
      <c r="H33" s="285"/>
      <c r="I33" s="285"/>
    </row>
    <row r="34" spans="2:9" ht="6" customHeight="1" outlineLevel="1" x14ac:dyDescent="0.25">
      <c r="B34" s="283"/>
      <c r="C34" s="290"/>
      <c r="D34" s="285"/>
      <c r="E34" s="285"/>
      <c r="F34" s="293"/>
      <c r="G34" s="284"/>
      <c r="H34" s="285"/>
      <c r="I34" s="285"/>
    </row>
    <row r="35" spans="2:9" ht="15" outlineLevel="1" x14ac:dyDescent="0.25">
      <c r="B35" s="283"/>
      <c r="C35" s="290"/>
      <c r="D35" s="300" t="s">
        <v>287</v>
      </c>
      <c r="E35" s="301">
        <f>SUM(E36:E38)</f>
        <v>444247572.68777007</v>
      </c>
      <c r="F35" s="293"/>
      <c r="G35" s="284"/>
      <c r="H35" s="285"/>
      <c r="I35" s="285"/>
    </row>
    <row r="36" spans="2:9" ht="15" outlineLevel="1" x14ac:dyDescent="0.25">
      <c r="B36" s="283"/>
      <c r="C36" s="290"/>
      <c r="D36" s="303" t="s">
        <v>288</v>
      </c>
      <c r="E36" s="295">
        <v>320705182.41755182</v>
      </c>
      <c r="F36" s="293"/>
      <c r="G36" s="284"/>
      <c r="H36" s="285"/>
      <c r="I36" s="285"/>
    </row>
    <row r="37" spans="2:9" ht="15" outlineLevel="1" x14ac:dyDescent="0.25">
      <c r="B37" s="283"/>
      <c r="C37" s="290"/>
      <c r="D37" s="303" t="s">
        <v>289</v>
      </c>
      <c r="E37" s="295">
        <v>122566773.09510241</v>
      </c>
      <c r="F37" s="293"/>
      <c r="G37" s="284"/>
      <c r="H37" s="285"/>
      <c r="I37" s="285"/>
    </row>
    <row r="38" spans="2:9" ht="15" outlineLevel="1" x14ac:dyDescent="0.25">
      <c r="B38" s="283"/>
      <c r="C38" s="290"/>
      <c r="D38" s="303" t="s">
        <v>290</v>
      </c>
      <c r="E38" s="295">
        <v>975617.17511583015</v>
      </c>
      <c r="F38" s="293"/>
      <c r="G38" s="284"/>
      <c r="H38" s="285"/>
      <c r="I38" s="285"/>
    </row>
    <row r="39" spans="2:9" ht="15" outlineLevel="1" x14ac:dyDescent="0.25">
      <c r="B39" s="283"/>
      <c r="C39" s="290"/>
      <c r="D39" s="296" t="s">
        <v>275</v>
      </c>
      <c r="E39" s="297">
        <v>-5.6000000000000001E-2</v>
      </c>
      <c r="F39" s="293"/>
      <c r="G39" s="284"/>
      <c r="H39" s="285"/>
      <c r="I39" s="285"/>
    </row>
    <row r="40" spans="2:9" ht="6" customHeight="1" outlineLevel="1" thickBot="1" x14ac:dyDescent="0.3">
      <c r="B40" s="283"/>
      <c r="C40" s="290"/>
      <c r="D40" s="285"/>
      <c r="E40" s="285"/>
      <c r="F40" s="293"/>
      <c r="G40" s="284"/>
      <c r="H40" s="285"/>
      <c r="I40" s="285"/>
    </row>
    <row r="41" spans="2:9" ht="15" x14ac:dyDescent="0.25">
      <c r="B41" s="283"/>
      <c r="C41" s="290"/>
      <c r="D41" s="298" t="s">
        <v>291</v>
      </c>
      <c r="E41" s="299">
        <f>SUM(E24,E35)*(1+E39)+E33</f>
        <v>1425130270.7419548</v>
      </c>
      <c r="F41" s="293"/>
      <c r="G41" s="284"/>
      <c r="H41" s="285"/>
      <c r="I41" s="285"/>
    </row>
    <row r="42" spans="2:9" ht="9.75" customHeight="1" thickBot="1" x14ac:dyDescent="0.3">
      <c r="B42" s="283"/>
      <c r="C42" s="290"/>
      <c r="D42" s="304"/>
      <c r="E42" s="301"/>
      <c r="F42" s="293"/>
      <c r="G42" s="284"/>
      <c r="H42" s="285"/>
      <c r="I42" s="285"/>
    </row>
    <row r="43" spans="2:9" ht="15" x14ac:dyDescent="0.25">
      <c r="B43" s="283"/>
      <c r="C43" s="290"/>
      <c r="D43" s="305" t="s">
        <v>261</v>
      </c>
      <c r="E43" s="306" t="s">
        <v>269</v>
      </c>
      <c r="F43" s="293"/>
      <c r="G43" s="284"/>
      <c r="H43" s="285"/>
      <c r="I43" s="285"/>
    </row>
    <row r="44" spans="2:9" ht="6" customHeight="1" x14ac:dyDescent="0.25">
      <c r="B44" s="283"/>
      <c r="C44" s="290"/>
      <c r="D44" s="285"/>
      <c r="E44" s="286"/>
      <c r="F44" s="293"/>
      <c r="G44" s="284"/>
      <c r="H44" s="285"/>
      <c r="I44" s="285"/>
    </row>
    <row r="45" spans="2:9" ht="15" x14ac:dyDescent="0.25">
      <c r="B45" s="283"/>
      <c r="C45" s="290"/>
      <c r="D45" s="294" t="s">
        <v>292</v>
      </c>
      <c r="E45" s="295">
        <f>E20+E41</f>
        <v>1510105292.3587828</v>
      </c>
      <c r="F45" s="293"/>
      <c r="G45" s="284"/>
      <c r="H45" s="285"/>
      <c r="I45" s="285"/>
    </row>
    <row r="46" spans="2:9" ht="6" customHeight="1" x14ac:dyDescent="0.25">
      <c r="B46" s="283"/>
      <c r="C46" s="290"/>
      <c r="D46" s="285"/>
      <c r="E46" s="286"/>
      <c r="F46" s="293"/>
      <c r="G46" s="284"/>
      <c r="H46" s="285"/>
      <c r="I46" s="285"/>
    </row>
    <row r="47" spans="2:9" ht="15" x14ac:dyDescent="0.25">
      <c r="B47" s="283"/>
      <c r="C47" s="290"/>
      <c r="D47" s="296" t="s">
        <v>293</v>
      </c>
      <c r="E47" s="295">
        <v>-13556471.782993143</v>
      </c>
      <c r="F47" s="293"/>
      <c r="G47" s="284"/>
      <c r="H47" s="285"/>
      <c r="I47" s="285"/>
    </row>
    <row r="48" spans="2:9" ht="6" customHeight="1" x14ac:dyDescent="0.25">
      <c r="B48" s="283"/>
      <c r="C48" s="290"/>
      <c r="D48" s="285"/>
      <c r="E48" s="286"/>
      <c r="F48" s="293"/>
      <c r="G48" s="284"/>
      <c r="H48" s="285"/>
      <c r="I48" s="285"/>
    </row>
    <row r="49" spans="2:9" ht="15" x14ac:dyDescent="0.25">
      <c r="B49" s="283"/>
      <c r="C49" s="290"/>
      <c r="D49" s="294" t="s">
        <v>294</v>
      </c>
      <c r="E49" s="295">
        <f>(E45+E47)</f>
        <v>1496548820.5757897</v>
      </c>
      <c r="F49" s="293"/>
      <c r="G49" s="284"/>
      <c r="H49" s="285"/>
      <c r="I49" s="285"/>
    </row>
    <row r="50" spans="2:9" ht="6" customHeight="1" x14ac:dyDescent="0.25">
      <c r="B50" s="283"/>
      <c r="C50" s="290"/>
      <c r="D50" s="285"/>
      <c r="E50" s="286"/>
      <c r="F50" s="293"/>
      <c r="G50" s="284"/>
      <c r="H50" s="285"/>
      <c r="I50" s="285"/>
    </row>
    <row r="51" spans="2:9" ht="15" x14ac:dyDescent="0.25">
      <c r="B51" s="283"/>
      <c r="C51" s="290"/>
      <c r="D51" s="294" t="s">
        <v>295</v>
      </c>
      <c r="E51" s="295">
        <v>1564407614.491673</v>
      </c>
      <c r="F51" s="293"/>
      <c r="G51" s="284"/>
      <c r="H51" s="285"/>
      <c r="I51" s="285"/>
    </row>
    <row r="52" spans="2:9" ht="6" customHeight="1" x14ac:dyDescent="0.25">
      <c r="B52" s="283"/>
      <c r="C52" s="290"/>
      <c r="D52" s="285"/>
      <c r="E52" s="286"/>
      <c r="F52" s="293"/>
      <c r="G52" s="284"/>
      <c r="H52" s="285"/>
      <c r="I52" s="285"/>
    </row>
    <row r="53" spans="2:9" ht="15" x14ac:dyDescent="0.25">
      <c r="B53" s="283"/>
      <c r="C53" s="290"/>
      <c r="D53" s="307" t="s">
        <v>296</v>
      </c>
      <c r="E53" s="308">
        <f>E49/E51-1</f>
        <v>-4.3376670688177965E-2</v>
      </c>
      <c r="F53" s="293"/>
      <c r="G53" s="284"/>
      <c r="H53" s="285"/>
      <c r="I53" s="285"/>
    </row>
    <row r="54" spans="2:9" ht="9" customHeight="1" thickBot="1" x14ac:dyDescent="0.3">
      <c r="B54" s="283"/>
      <c r="C54" s="309"/>
      <c r="D54" s="310"/>
      <c r="E54" s="310"/>
      <c r="F54" s="311"/>
      <c r="G54" s="284"/>
      <c r="H54" s="276"/>
      <c r="I54" s="276"/>
    </row>
    <row r="55" spans="2:9" ht="4.9000000000000004" customHeight="1" x14ac:dyDescent="0.25">
      <c r="B55" s="312"/>
      <c r="C55" s="313"/>
      <c r="D55" s="314"/>
      <c r="E55" s="314"/>
      <c r="F55" s="313"/>
      <c r="G55" s="315"/>
      <c r="H55" s="276"/>
      <c r="I55" s="276"/>
    </row>
    <row r="56" spans="2:9" ht="15" x14ac:dyDescent="0.25"/>
    <row r="57" spans="2:9" ht="15" x14ac:dyDescent="0.25"/>
    <row r="58" spans="2:9" ht="15" x14ac:dyDescent="0.25"/>
    <row r="59" spans="2:9" ht="15" x14ac:dyDescent="0.25"/>
    <row r="60" spans="2:9" ht="15" x14ac:dyDescent="0.25"/>
    <row r="61" spans="2:9" ht="15" x14ac:dyDescent="0.25"/>
    <row r="62" spans="2:9" ht="15" x14ac:dyDescent="0.25"/>
    <row r="63" spans="2:9" ht="15" x14ac:dyDescent="0.25"/>
    <row r="64" spans="2:9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0" ht="14.45" customHeight="1" x14ac:dyDescent="0.25"/>
    <row r="91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</sheetData>
  <mergeCells count="1">
    <mergeCell ref="C8:F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>
    <tabColor rgb="FF00B050"/>
    <pageSetUpPr fitToPage="1"/>
  </sheetPr>
  <dimension ref="A2:M50"/>
  <sheetViews>
    <sheetView showGridLines="0" topLeftCell="A6" zoomScaleNormal="100" workbookViewId="0">
      <selection activeCell="F23" sqref="F23"/>
    </sheetView>
  </sheetViews>
  <sheetFormatPr defaultColWidth="20" defaultRowHeight="14.25" x14ac:dyDescent="0.2"/>
  <cols>
    <col min="1" max="1" width="14.85546875" style="1" customWidth="1"/>
    <col min="2" max="2" width="23" style="1" customWidth="1"/>
    <col min="3" max="5" width="10.42578125" style="1" customWidth="1"/>
    <col min="6" max="6" width="7.5703125" style="1" customWidth="1"/>
    <col min="7" max="7" width="30.7109375" style="1" customWidth="1"/>
    <col min="8" max="8" width="20" style="1" customWidth="1"/>
    <col min="9" max="9" width="19.28515625" style="1" customWidth="1"/>
    <col min="10" max="10" width="14.140625" style="1" customWidth="1"/>
    <col min="11" max="11" width="14.42578125" style="1" customWidth="1"/>
    <col min="12" max="12" width="14" style="1" customWidth="1"/>
    <col min="13" max="13" width="16" style="1" customWidth="1"/>
    <col min="14" max="14" width="18.7109375" style="1" customWidth="1"/>
    <col min="15" max="15" width="11" style="1" customWidth="1"/>
    <col min="16" max="16384" width="20" style="1"/>
  </cols>
  <sheetData>
    <row r="2" spans="1:12" x14ac:dyDescent="0.2">
      <c r="G2" s="87"/>
      <c r="H2" s="87"/>
      <c r="I2" s="87"/>
      <c r="J2" s="87"/>
    </row>
    <row r="3" spans="1:12" ht="18" x14ac:dyDescent="0.2">
      <c r="C3" s="379" t="s">
        <v>1</v>
      </c>
      <c r="D3" s="379"/>
      <c r="E3" s="379"/>
      <c r="G3" s="87"/>
      <c r="H3" s="87"/>
      <c r="I3" s="87"/>
      <c r="J3" s="87"/>
    </row>
    <row r="4" spans="1:12" x14ac:dyDescent="0.2">
      <c r="G4" s="87"/>
      <c r="H4" s="87"/>
      <c r="I4" s="87"/>
      <c r="J4" s="87"/>
    </row>
    <row r="6" spans="1:12" x14ac:dyDescent="0.2">
      <c r="K6" s="151"/>
      <c r="L6" s="152"/>
    </row>
    <row r="7" spans="1:12" ht="15" x14ac:dyDescent="0.25">
      <c r="B7" s="380" t="s">
        <v>2</v>
      </c>
      <c r="C7" s="381"/>
      <c r="D7" s="381"/>
      <c r="E7" s="382"/>
      <c r="G7" s="383" t="s">
        <v>3</v>
      </c>
      <c r="H7" s="384"/>
      <c r="I7" s="384"/>
      <c r="J7" s="384"/>
      <c r="K7" s="384"/>
      <c r="L7" s="384"/>
    </row>
    <row r="8" spans="1:12" s="220" customFormat="1" ht="30" x14ac:dyDescent="0.2">
      <c r="B8" s="30" t="s">
        <v>4</v>
      </c>
      <c r="C8" s="2" t="s">
        <v>5</v>
      </c>
      <c r="D8" s="177" t="s">
        <v>6</v>
      </c>
      <c r="E8" s="177" t="s">
        <v>7</v>
      </c>
      <c r="G8" s="212" t="s">
        <v>8</v>
      </c>
      <c r="H8" s="213" t="s">
        <v>9</v>
      </c>
      <c r="I8" s="214" t="s">
        <v>10</v>
      </c>
      <c r="J8" s="212" t="s">
        <v>8</v>
      </c>
      <c r="K8" s="213" t="s">
        <v>9</v>
      </c>
      <c r="L8" s="214" t="s">
        <v>11</v>
      </c>
    </row>
    <row r="9" spans="1:12" ht="15" x14ac:dyDescent="0.25">
      <c r="A9" s="104"/>
      <c r="B9" s="150">
        <v>43800</v>
      </c>
      <c r="C9" s="370">
        <v>5449.84</v>
      </c>
      <c r="D9" s="371">
        <v>5320.25</v>
      </c>
      <c r="E9" s="371">
        <v>759.11199999999997</v>
      </c>
      <c r="F9" s="3"/>
      <c r="G9" s="215">
        <v>43466</v>
      </c>
      <c r="H9" s="216">
        <v>10476110.59</v>
      </c>
      <c r="I9" s="216">
        <v>22711497</v>
      </c>
      <c r="J9" s="215">
        <f>EDATE(G20,1)</f>
        <v>43831</v>
      </c>
      <c r="K9" s="216">
        <v>11210106.59</v>
      </c>
      <c r="L9" s="216">
        <v>23425627</v>
      </c>
    </row>
    <row r="10" spans="1:12" ht="15" x14ac:dyDescent="0.25">
      <c r="B10" s="149">
        <f>+B9+31</f>
        <v>43831</v>
      </c>
      <c r="C10" s="371">
        <v>5460.19</v>
      </c>
      <c r="D10" s="371">
        <v>5331.42</v>
      </c>
      <c r="E10" s="371">
        <v>762.73299999999995</v>
      </c>
      <c r="F10" s="3"/>
      <c r="G10" s="215">
        <v>43497</v>
      </c>
      <c r="H10" s="216">
        <v>10966906.65</v>
      </c>
      <c r="I10" s="216">
        <v>23411605</v>
      </c>
      <c r="J10" s="215">
        <f t="shared" ref="J10:J20" si="0">EDATE(J9,1)</f>
        <v>43862</v>
      </c>
      <c r="K10" s="216">
        <v>11178058.51</v>
      </c>
      <c r="L10" s="216">
        <v>24087787</v>
      </c>
    </row>
    <row r="11" spans="1:12" ht="15" x14ac:dyDescent="0.25">
      <c r="B11" s="66">
        <f>+B10+31</f>
        <v>43862</v>
      </c>
      <c r="C11" s="371">
        <v>5469.47</v>
      </c>
      <c r="D11" s="371">
        <v>5344.75</v>
      </c>
      <c r="E11" s="371">
        <v>762.423</v>
      </c>
      <c r="F11" s="3"/>
      <c r="G11" s="215">
        <v>43525</v>
      </c>
      <c r="H11" s="216">
        <v>9889870.6699999999</v>
      </c>
      <c r="I11" s="216">
        <v>20807023</v>
      </c>
      <c r="J11" s="215">
        <f t="shared" si="0"/>
        <v>43891</v>
      </c>
      <c r="K11" s="216">
        <v>10389999.48</v>
      </c>
      <c r="L11" s="216">
        <v>22571126</v>
      </c>
    </row>
    <row r="12" spans="1:12" ht="15" x14ac:dyDescent="0.25">
      <c r="B12" s="66">
        <f t="shared" ref="B12:B21" si="1">+B11+31</f>
        <v>43893</v>
      </c>
      <c r="C12" s="371">
        <v>5479.32</v>
      </c>
      <c r="D12" s="371">
        <v>5348.49</v>
      </c>
      <c r="E12" s="371">
        <v>771.90800000000002</v>
      </c>
      <c r="F12" s="3"/>
      <c r="G12" s="215">
        <v>43556</v>
      </c>
      <c r="H12" s="216">
        <v>12070128.92</v>
      </c>
      <c r="I12" s="216">
        <v>23158646</v>
      </c>
      <c r="J12" s="215">
        <f t="shared" si="0"/>
        <v>43922</v>
      </c>
      <c r="K12" s="216">
        <v>11016193.699999999</v>
      </c>
      <c r="L12" s="216">
        <v>24236003</v>
      </c>
    </row>
    <row r="13" spans="1:12" ht="15" x14ac:dyDescent="0.25">
      <c r="B13" s="66">
        <f t="shared" si="1"/>
        <v>43924</v>
      </c>
      <c r="C13" s="371">
        <v>5466.72</v>
      </c>
      <c r="D13" s="371">
        <v>5331.91</v>
      </c>
      <c r="E13" s="371">
        <v>778.101</v>
      </c>
      <c r="F13" s="3"/>
      <c r="G13" s="215">
        <v>43586</v>
      </c>
      <c r="H13" s="216">
        <v>12041786.609999999</v>
      </c>
      <c r="I13" s="216">
        <v>22752326</v>
      </c>
      <c r="J13" s="215">
        <f t="shared" si="0"/>
        <v>43952</v>
      </c>
      <c r="K13" s="216">
        <v>10362289</v>
      </c>
      <c r="L13" s="216">
        <v>22781057</v>
      </c>
    </row>
    <row r="14" spans="1:12" ht="15" x14ac:dyDescent="0.25">
      <c r="B14" s="66">
        <f t="shared" si="1"/>
        <v>43955</v>
      </c>
      <c r="C14" s="371">
        <v>5453.05</v>
      </c>
      <c r="D14" s="371">
        <v>5311.65</v>
      </c>
      <c r="E14" s="371">
        <v>780.28</v>
      </c>
      <c r="F14" s="3"/>
      <c r="G14" s="215">
        <v>43617</v>
      </c>
      <c r="H14" s="216">
        <v>12188002.279999999</v>
      </c>
      <c r="I14" s="216">
        <v>23348287</v>
      </c>
      <c r="J14" s="215">
        <f t="shared" si="0"/>
        <v>43983</v>
      </c>
      <c r="K14" s="216">
        <v>10737691.119999999</v>
      </c>
      <c r="L14" s="216">
        <v>23629188</v>
      </c>
    </row>
    <row r="15" spans="1:12" ht="15" x14ac:dyDescent="0.25">
      <c r="B15" s="66">
        <f t="shared" si="1"/>
        <v>43986</v>
      </c>
      <c r="C15" s="371">
        <v>5469.41</v>
      </c>
      <c r="D15" s="371">
        <v>5325.46</v>
      </c>
      <c r="E15" s="371">
        <v>792.42899999999997</v>
      </c>
      <c r="F15" s="3"/>
      <c r="G15" s="215">
        <v>43647</v>
      </c>
      <c r="H15" s="216">
        <v>11667972.33</v>
      </c>
      <c r="I15" s="216">
        <v>22393589</v>
      </c>
      <c r="J15" s="215">
        <f t="shared" si="0"/>
        <v>44013</v>
      </c>
      <c r="K15" s="216">
        <v>10437042.68</v>
      </c>
      <c r="L15" s="216">
        <v>23147094</v>
      </c>
    </row>
    <row r="16" spans="1:12" ht="15" x14ac:dyDescent="0.25">
      <c r="B16" s="66">
        <f t="shared" si="1"/>
        <v>44017</v>
      </c>
      <c r="C16" s="371">
        <v>5493.48</v>
      </c>
      <c r="D16" s="371">
        <v>5344.63</v>
      </c>
      <c r="E16" s="371">
        <v>810.08299999999997</v>
      </c>
      <c r="F16" s="3"/>
      <c r="G16" s="215">
        <v>43678</v>
      </c>
      <c r="H16" s="216">
        <v>12970902.210000001</v>
      </c>
      <c r="I16" s="216">
        <v>22855373</v>
      </c>
      <c r="J16" s="215">
        <f t="shared" si="0"/>
        <v>44044</v>
      </c>
      <c r="K16" s="216">
        <v>10819442.18</v>
      </c>
      <c r="L16" s="216">
        <v>24058185</v>
      </c>
    </row>
    <row r="17" spans="2:13" ht="15" x14ac:dyDescent="0.25">
      <c r="B17" s="66">
        <f t="shared" si="1"/>
        <v>44048</v>
      </c>
      <c r="C17" s="371">
        <v>5513.26</v>
      </c>
      <c r="D17" s="371">
        <v>5357.46</v>
      </c>
      <c r="E17" s="371">
        <v>832.31299999999999</v>
      </c>
      <c r="F17" s="3"/>
      <c r="G17" s="215">
        <v>43709</v>
      </c>
      <c r="H17" s="216">
        <v>13582236.85</v>
      </c>
      <c r="I17" s="216">
        <v>24173524</v>
      </c>
      <c r="J17" s="215">
        <f t="shared" si="0"/>
        <v>44075</v>
      </c>
      <c r="K17" s="216">
        <v>11114946.539999999</v>
      </c>
      <c r="L17" s="216">
        <v>24798608</v>
      </c>
    </row>
    <row r="18" spans="2:13" ht="15" x14ac:dyDescent="0.25">
      <c r="B18" s="66">
        <f t="shared" si="1"/>
        <v>44079</v>
      </c>
      <c r="C18" s="371">
        <v>5561.23</v>
      </c>
      <c r="D18" s="371">
        <v>5391.75</v>
      </c>
      <c r="E18" s="371">
        <v>868.44200000000001</v>
      </c>
      <c r="F18" s="3"/>
      <c r="G18" s="215">
        <v>43739</v>
      </c>
      <c r="H18" s="216">
        <v>13023503.609999999</v>
      </c>
      <c r="I18" s="216">
        <v>23717621</v>
      </c>
      <c r="J18" s="215">
        <f t="shared" si="0"/>
        <v>44105</v>
      </c>
      <c r="K18" s="216">
        <v>11094302.01</v>
      </c>
      <c r="L18" s="216">
        <v>24873801</v>
      </c>
    </row>
    <row r="19" spans="2:13" ht="15" x14ac:dyDescent="0.25">
      <c r="B19" s="66">
        <f t="shared" si="1"/>
        <v>44110</v>
      </c>
      <c r="C19" s="371">
        <v>5610.72</v>
      </c>
      <c r="D19" s="371">
        <v>5438.12</v>
      </c>
      <c r="E19" s="371">
        <v>896.505</v>
      </c>
      <c r="F19" s="3"/>
      <c r="G19" s="215">
        <v>43770</v>
      </c>
      <c r="H19" s="216">
        <v>12303776.09</v>
      </c>
      <c r="I19" s="216">
        <v>24209600</v>
      </c>
      <c r="J19" s="215">
        <f t="shared" si="0"/>
        <v>44136</v>
      </c>
      <c r="K19" s="216">
        <v>10864819.530000001</v>
      </c>
      <c r="L19" s="216">
        <v>23841001</v>
      </c>
    </row>
    <row r="20" spans="2:13" ht="15" x14ac:dyDescent="0.25">
      <c r="B20" s="66">
        <f t="shared" si="1"/>
        <v>44141</v>
      </c>
      <c r="C20" s="371">
        <v>5664.02</v>
      </c>
      <c r="D20" s="371">
        <v>5486.52</v>
      </c>
      <c r="E20" s="371">
        <v>925.88699999999994</v>
      </c>
      <c r="F20" s="3"/>
      <c r="G20" s="215">
        <v>43800</v>
      </c>
      <c r="H20" s="216">
        <v>11336323.619999999</v>
      </c>
      <c r="I20" s="216">
        <v>22437102</v>
      </c>
      <c r="J20" s="215">
        <f t="shared" si="0"/>
        <v>44166</v>
      </c>
      <c r="K20" s="216">
        <v>11365998.400000004</v>
      </c>
      <c r="L20" s="216">
        <v>23085785</v>
      </c>
    </row>
    <row r="21" spans="2:13" ht="15" x14ac:dyDescent="0.2">
      <c r="B21" s="66">
        <f t="shared" si="1"/>
        <v>44172</v>
      </c>
      <c r="C21" s="371">
        <v>5746.71</v>
      </c>
      <c r="D21" s="371">
        <v>5560.59</v>
      </c>
      <c r="E21" s="371">
        <v>934.75800000000004</v>
      </c>
      <c r="F21" s="3"/>
      <c r="G21" s="217" t="s">
        <v>12</v>
      </c>
      <c r="H21" s="218">
        <f>SUM(H9:H20)</f>
        <v>142517520.42999998</v>
      </c>
      <c r="I21" s="218">
        <f>SUM(I9:I20)</f>
        <v>275976193</v>
      </c>
      <c r="J21" s="217" t="s">
        <v>12</v>
      </c>
      <c r="K21" s="218">
        <f>SUM(K9:K20)</f>
        <v>130590889.73999999</v>
      </c>
      <c r="L21" s="218">
        <f>SUM(L9:L20)</f>
        <v>284535262</v>
      </c>
    </row>
    <row r="22" spans="2:13" ht="17.100000000000001" customHeight="1" x14ac:dyDescent="0.2">
      <c r="B22" s="81" t="s">
        <v>13</v>
      </c>
      <c r="C22" s="335">
        <f>C21/C9-1</f>
        <v>5.4473158845030234E-2</v>
      </c>
      <c r="D22" s="335">
        <f>D21/D9-1</f>
        <v>4.517456886424509E-2</v>
      </c>
      <c r="E22" s="335">
        <f>E21/E9-1</f>
        <v>0.23138351126052559</v>
      </c>
      <c r="F22" s="4"/>
      <c r="G22" s="219" t="s">
        <v>14</v>
      </c>
      <c r="L22" s="11"/>
      <c r="M22" s="11"/>
    </row>
    <row r="23" spans="2:13" x14ac:dyDescent="0.2">
      <c r="B23" s="5" t="s">
        <v>15</v>
      </c>
      <c r="G23" s="219" t="s">
        <v>16</v>
      </c>
    </row>
    <row r="24" spans="2:13" x14ac:dyDescent="0.2">
      <c r="B24" s="104"/>
      <c r="G24" s="388" t="s">
        <v>17</v>
      </c>
      <c r="H24" s="388"/>
      <c r="I24" s="388"/>
      <c r="J24" s="388"/>
      <c r="K24" s="388"/>
      <c r="L24" s="388"/>
    </row>
    <row r="25" spans="2:13" x14ac:dyDescent="0.2">
      <c r="B25" s="104"/>
      <c r="G25" s="388"/>
      <c r="H25" s="388"/>
      <c r="I25" s="388"/>
      <c r="J25" s="388"/>
      <c r="K25" s="388"/>
      <c r="L25" s="388"/>
    </row>
    <row r="26" spans="2:13" x14ac:dyDescent="0.2">
      <c r="B26" s="104"/>
      <c r="G26" s="5" t="s">
        <v>18</v>
      </c>
    </row>
    <row r="27" spans="2:13" x14ac:dyDescent="0.2">
      <c r="B27" s="101"/>
      <c r="G27" s="5"/>
    </row>
    <row r="28" spans="2:13" ht="15" x14ac:dyDescent="0.25">
      <c r="B28" s="101"/>
      <c r="G28" s="385" t="s">
        <v>19</v>
      </c>
      <c r="H28" s="386"/>
      <c r="I28" s="386"/>
      <c r="J28" s="387"/>
      <c r="M28" s="11"/>
    </row>
    <row r="29" spans="2:13" ht="18.75" customHeight="1" x14ac:dyDescent="0.2">
      <c r="G29" s="256" t="s">
        <v>20</v>
      </c>
      <c r="H29" s="221" t="s">
        <v>21</v>
      </c>
      <c r="I29" s="222" t="s">
        <v>22</v>
      </c>
      <c r="J29" s="253" t="s">
        <v>23</v>
      </c>
      <c r="K29" s="4"/>
      <c r="L29" s="11"/>
      <c r="M29" s="3"/>
    </row>
    <row r="30" spans="2:13" ht="15" x14ac:dyDescent="0.2">
      <c r="G30" s="197" t="s">
        <v>24</v>
      </c>
      <c r="H30" s="223">
        <f>+Indices_2021!K21</f>
        <v>130590889.73999999</v>
      </c>
      <c r="I30" s="224">
        <f>+Indices_2021!L21</f>
        <v>284535262</v>
      </c>
      <c r="J30" s="225">
        <f>H30/I30</f>
        <v>0.45896205912081295</v>
      </c>
      <c r="K30" s="4"/>
    </row>
    <row r="31" spans="2:13" ht="15" x14ac:dyDescent="0.25">
      <c r="G31" s="226" t="s">
        <v>25</v>
      </c>
      <c r="H31" s="227">
        <f>+Indices_2021!H21</f>
        <v>142517520.42999998</v>
      </c>
      <c r="I31" s="228">
        <f>+Indices_2021!I21</f>
        <v>275976193</v>
      </c>
      <c r="J31" s="229">
        <f>H31/I31</f>
        <v>0.51641237195412715</v>
      </c>
      <c r="K31" s="115"/>
      <c r="L31" s="115"/>
    </row>
    <row r="32" spans="2:13" ht="15" x14ac:dyDescent="0.25">
      <c r="G32" s="376" t="s">
        <v>26</v>
      </c>
      <c r="H32" s="377"/>
      <c r="I32" s="378"/>
      <c r="J32" s="230">
        <f>J30/J31-1</f>
        <v>-0.11124890872757309</v>
      </c>
      <c r="K32" s="82"/>
    </row>
    <row r="34" spans="7:8" ht="15" x14ac:dyDescent="0.25">
      <c r="G34" s="117"/>
      <c r="H34" s="118"/>
    </row>
    <row r="35" spans="7:8" x14ac:dyDescent="0.2">
      <c r="G35" s="119"/>
      <c r="H35" s="117"/>
    </row>
    <row r="36" spans="7:8" ht="15" x14ac:dyDescent="0.25">
      <c r="G36" s="120"/>
      <c r="H36" s="118"/>
    </row>
    <row r="37" spans="7:8" x14ac:dyDescent="0.2">
      <c r="G37" s="119"/>
      <c r="H37" s="120"/>
    </row>
    <row r="38" spans="7:8" x14ac:dyDescent="0.2">
      <c r="G38" s="119"/>
      <c r="H38" s="120"/>
    </row>
    <row r="39" spans="7:8" x14ac:dyDescent="0.2">
      <c r="G39" s="119"/>
      <c r="H39" s="120"/>
    </row>
    <row r="40" spans="7:8" x14ac:dyDescent="0.2">
      <c r="G40" s="119"/>
      <c r="H40" s="120"/>
    </row>
    <row r="41" spans="7:8" x14ac:dyDescent="0.2">
      <c r="G41" s="119"/>
      <c r="H41" s="120"/>
    </row>
    <row r="42" spans="7:8" x14ac:dyDescent="0.2">
      <c r="G42" s="119"/>
      <c r="H42" s="120"/>
    </row>
    <row r="43" spans="7:8" x14ac:dyDescent="0.2">
      <c r="G43" s="119"/>
      <c r="H43" s="120"/>
    </row>
    <row r="44" spans="7:8" x14ac:dyDescent="0.2">
      <c r="G44" s="119"/>
      <c r="H44" s="120"/>
    </row>
    <row r="45" spans="7:8" x14ac:dyDescent="0.2">
      <c r="G45" s="119"/>
      <c r="H45" s="120"/>
    </row>
    <row r="46" spans="7:8" x14ac:dyDescent="0.2">
      <c r="G46" s="119"/>
      <c r="H46" s="120"/>
    </row>
    <row r="47" spans="7:8" x14ac:dyDescent="0.2">
      <c r="G47" s="119"/>
      <c r="H47" s="120"/>
    </row>
    <row r="48" spans="7:8" x14ac:dyDescent="0.2">
      <c r="G48" s="119"/>
      <c r="H48" s="120"/>
    </row>
    <row r="49" spans="7:8" x14ac:dyDescent="0.2">
      <c r="G49" s="119"/>
      <c r="H49" s="120"/>
    </row>
    <row r="50" spans="7:8" ht="15" x14ac:dyDescent="0.25">
      <c r="G50"/>
      <c r="H50"/>
    </row>
  </sheetData>
  <mergeCells count="6">
    <mergeCell ref="G32:I32"/>
    <mergeCell ref="C3:E3"/>
    <mergeCell ref="B7:E7"/>
    <mergeCell ref="G7:L7"/>
    <mergeCell ref="G28:J28"/>
    <mergeCell ref="G24:L25"/>
  </mergeCells>
  <pageMargins left="0.511811024" right="0.511811024" top="0.78740157499999996" bottom="0.78740157499999996" header="0.31496062000000002" footer="0.31496062000000002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>
    <tabColor rgb="FF00B050"/>
    <pageSetUpPr fitToPage="1"/>
  </sheetPr>
  <dimension ref="B4:S119"/>
  <sheetViews>
    <sheetView showGridLines="0" topLeftCell="D37" zoomScaleNormal="100" workbookViewId="0">
      <selection activeCell="R116" sqref="R116"/>
    </sheetView>
  </sheetViews>
  <sheetFormatPr defaultColWidth="8.85546875" defaultRowHeight="14.25" x14ac:dyDescent="0.2"/>
  <cols>
    <col min="1" max="1" width="3.140625" style="1" customWidth="1"/>
    <col min="2" max="2" width="19.28515625" style="1" customWidth="1"/>
    <col min="3" max="3" width="14.140625" style="1" customWidth="1"/>
    <col min="4" max="4" width="12.140625" style="1" bestFit="1" customWidth="1"/>
    <col min="5" max="5" width="12.5703125" style="1" customWidth="1"/>
    <col min="6" max="6" width="12" style="1" bestFit="1" customWidth="1"/>
    <col min="7" max="8" width="12.28515625" style="1" customWidth="1"/>
    <col min="9" max="9" width="13.5703125" style="1" customWidth="1"/>
    <col min="10" max="10" width="12" style="1" customWidth="1"/>
    <col min="11" max="11" width="12.140625" style="1" bestFit="1" customWidth="1"/>
    <col min="12" max="12" width="12" style="1" customWidth="1"/>
    <col min="13" max="14" width="12.140625" style="1" bestFit="1" customWidth="1"/>
    <col min="15" max="15" width="12" style="1" bestFit="1" customWidth="1"/>
    <col min="16" max="16" width="12" style="1" customWidth="1"/>
    <col min="17" max="17" width="12.7109375" style="1" customWidth="1"/>
    <col min="18" max="18" width="13.5703125" style="1" customWidth="1"/>
    <col min="19" max="19" width="12.140625" style="1" bestFit="1" customWidth="1"/>
    <col min="20" max="16384" width="8.85546875" style="1"/>
  </cols>
  <sheetData>
    <row r="4" spans="2:17" ht="18" x14ac:dyDescent="0.2">
      <c r="F4" s="13" t="s">
        <v>27</v>
      </c>
    </row>
    <row r="8" spans="2:17" ht="17.25" x14ac:dyDescent="0.2">
      <c r="B8" s="381" t="s">
        <v>28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</row>
    <row r="9" spans="2:17" ht="15" x14ac:dyDescent="0.2">
      <c r="B9" s="392"/>
      <c r="C9" s="393"/>
      <c r="D9" s="14">
        <v>43831</v>
      </c>
      <c r="E9" s="14">
        <f>+D9+31</f>
        <v>43862</v>
      </c>
      <c r="F9" s="14">
        <f t="shared" ref="F9:G9" si="0">+E9+31</f>
        <v>43893</v>
      </c>
      <c r="G9" s="14">
        <f t="shared" si="0"/>
        <v>43924</v>
      </c>
      <c r="H9" s="14">
        <f t="shared" ref="H9:O9" si="1">+G9+31</f>
        <v>43955</v>
      </c>
      <c r="I9" s="14">
        <f t="shared" si="1"/>
        <v>43986</v>
      </c>
      <c r="J9" s="14">
        <f t="shared" si="1"/>
        <v>44017</v>
      </c>
      <c r="K9" s="14">
        <f t="shared" si="1"/>
        <v>44048</v>
      </c>
      <c r="L9" s="14">
        <f t="shared" si="1"/>
        <v>44079</v>
      </c>
      <c r="M9" s="14">
        <f t="shared" si="1"/>
        <v>44110</v>
      </c>
      <c r="N9" s="14">
        <f t="shared" si="1"/>
        <v>44141</v>
      </c>
      <c r="O9" s="14">
        <f t="shared" si="1"/>
        <v>44172</v>
      </c>
      <c r="P9" s="7" t="s">
        <v>29</v>
      </c>
    </row>
    <row r="10" spans="2:17" x14ac:dyDescent="0.2">
      <c r="B10" s="394" t="s">
        <v>30</v>
      </c>
      <c r="C10" s="395"/>
      <c r="D10" s="57">
        <f>'CF 2021'!O8</f>
        <v>20769120</v>
      </c>
      <c r="E10" s="57">
        <f>'CF 2021'!P8</f>
        <v>19551398</v>
      </c>
      <c r="F10" s="57">
        <f>'CF 2021'!Q8</f>
        <v>21014761</v>
      </c>
      <c r="G10" s="57">
        <f>'CF 2021'!R8</f>
        <v>19970175</v>
      </c>
      <c r="H10" s="57">
        <f>'CF 2021'!S8</f>
        <v>20833763</v>
      </c>
      <c r="I10" s="57">
        <f>'CF 2021'!T8</f>
        <v>20464034</v>
      </c>
      <c r="J10" s="57">
        <f>'CF 2021'!U8</f>
        <v>21394985</v>
      </c>
      <c r="K10" s="57">
        <f>'CF 2021'!V8</f>
        <v>21721993</v>
      </c>
      <c r="L10" s="57">
        <f>'CF 2021'!W8</f>
        <v>21697413</v>
      </c>
      <c r="M10" s="57">
        <f>'CF 2021'!X8</f>
        <v>22408351</v>
      </c>
      <c r="N10" s="57">
        <f>'CF 2021'!Y8</f>
        <v>20317685</v>
      </c>
      <c r="O10" s="57">
        <f>'CF 2021'!Z8</f>
        <v>21561021</v>
      </c>
      <c r="P10" s="15">
        <f>SUM(D10:O10)</f>
        <v>251704699</v>
      </c>
    </row>
    <row r="11" spans="2:17" x14ac:dyDescent="0.2">
      <c r="B11" s="394" t="s">
        <v>31</v>
      </c>
      <c r="C11" s="395"/>
      <c r="D11" s="57">
        <f>'CF 2021'!O9</f>
        <v>12731821</v>
      </c>
      <c r="E11" s="57">
        <f>'CF 2021'!P9</f>
        <v>12302868</v>
      </c>
      <c r="F11" s="57">
        <f>'CF 2021'!Q9</f>
        <v>13741504</v>
      </c>
      <c r="G11" s="57">
        <f>'CF 2021'!R9</f>
        <v>12389385</v>
      </c>
      <c r="H11" s="57">
        <f>'CF 2021'!S9</f>
        <v>11499499</v>
      </c>
      <c r="I11" s="57">
        <f>'CF 2021'!T9</f>
        <v>10745762</v>
      </c>
      <c r="J11" s="57">
        <f>'CF 2021'!U9</f>
        <v>10859147</v>
      </c>
      <c r="K11" s="57">
        <f>'CF 2021'!V9</f>
        <v>10598607</v>
      </c>
      <c r="L11" s="57">
        <f>'CF 2021'!W9</f>
        <v>10099065</v>
      </c>
      <c r="M11" s="57">
        <f>'CF 2021'!X9</f>
        <v>11581715</v>
      </c>
      <c r="N11" s="57">
        <f>'CF 2021'!Y9</f>
        <v>11602541</v>
      </c>
      <c r="O11" s="57">
        <f>'CF 2021'!Z9</f>
        <v>12058129</v>
      </c>
      <c r="P11" s="15">
        <f>SUM(D11:O11)</f>
        <v>140210043</v>
      </c>
    </row>
    <row r="12" spans="2:17" ht="15" x14ac:dyDescent="0.2">
      <c r="B12" s="396" t="s">
        <v>32</v>
      </c>
      <c r="C12" s="397"/>
      <c r="D12" s="16">
        <f t="shared" ref="D12:G12" si="2">SUM(D10:D11)</f>
        <v>33500941</v>
      </c>
      <c r="E12" s="17">
        <f t="shared" si="2"/>
        <v>31854266</v>
      </c>
      <c r="F12" s="17">
        <f t="shared" si="2"/>
        <v>34756265</v>
      </c>
      <c r="G12" s="17">
        <f t="shared" si="2"/>
        <v>32359560</v>
      </c>
      <c r="H12" s="17">
        <f t="shared" ref="H12:P12" si="3">SUM(H10:H11)</f>
        <v>32333262</v>
      </c>
      <c r="I12" s="17">
        <f t="shared" si="3"/>
        <v>31209796</v>
      </c>
      <c r="J12" s="17">
        <f t="shared" si="3"/>
        <v>32254132</v>
      </c>
      <c r="K12" s="17">
        <f t="shared" si="3"/>
        <v>32320600</v>
      </c>
      <c r="L12" s="17">
        <f t="shared" si="3"/>
        <v>31796478</v>
      </c>
      <c r="M12" s="17">
        <f t="shared" si="3"/>
        <v>33990066</v>
      </c>
      <c r="N12" s="17">
        <f t="shared" si="3"/>
        <v>31920226</v>
      </c>
      <c r="O12" s="99">
        <f t="shared" si="3"/>
        <v>33619150</v>
      </c>
      <c r="P12" s="99">
        <f t="shared" si="3"/>
        <v>391914742</v>
      </c>
    </row>
    <row r="13" spans="2:17" ht="15" x14ac:dyDescent="0.25">
      <c r="B13" s="72" t="s">
        <v>18</v>
      </c>
      <c r="C13" s="18"/>
      <c r="D13" s="18"/>
      <c r="F13" s="18"/>
      <c r="G13" s="18"/>
      <c r="H13" s="18"/>
      <c r="I13" s="18"/>
      <c r="J13" s="18"/>
      <c r="K13" s="18"/>
      <c r="L13" s="19"/>
      <c r="P13" s="100"/>
      <c r="Q13" s="101"/>
    </row>
    <row r="14" spans="2:17" x14ac:dyDescent="0.2">
      <c r="P14" s="102"/>
      <c r="Q14" s="102"/>
    </row>
    <row r="15" spans="2:17" x14ac:dyDescent="0.2">
      <c r="P15" s="103"/>
      <c r="Q15" s="101"/>
    </row>
    <row r="16" spans="2:17" x14ac:dyDescent="0.2">
      <c r="P16" s="101"/>
      <c r="Q16" s="101"/>
    </row>
    <row r="17" spans="2:19" ht="18" x14ac:dyDescent="0.2">
      <c r="F17" s="13" t="s">
        <v>33</v>
      </c>
    </row>
    <row r="20" spans="2:19" ht="15" x14ac:dyDescent="0.25">
      <c r="B20" s="18"/>
      <c r="C20" s="18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2:19" ht="17.25" x14ac:dyDescent="0.2">
      <c r="B21" s="380" t="s">
        <v>34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</row>
    <row r="22" spans="2:19" ht="15" x14ac:dyDescent="0.2">
      <c r="B22" s="6" t="s">
        <v>35</v>
      </c>
      <c r="C22" s="6" t="s">
        <v>36</v>
      </c>
      <c r="D22" s="7">
        <f>+D9</f>
        <v>43831</v>
      </c>
      <c r="E22" s="7">
        <f t="shared" ref="E22:G22" si="4">+E9</f>
        <v>43862</v>
      </c>
      <c r="F22" s="7">
        <f t="shared" si="4"/>
        <v>43893</v>
      </c>
      <c r="G22" s="7">
        <f t="shared" si="4"/>
        <v>43924</v>
      </c>
      <c r="H22" s="7">
        <f>+H9</f>
        <v>43955</v>
      </c>
      <c r="I22" s="6" t="s">
        <v>36</v>
      </c>
      <c r="J22" s="7">
        <f t="shared" ref="J22:P22" si="5">+I9</f>
        <v>43986</v>
      </c>
      <c r="K22" s="7">
        <f t="shared" si="5"/>
        <v>44017</v>
      </c>
      <c r="L22" s="7">
        <f t="shared" si="5"/>
        <v>44048</v>
      </c>
      <c r="M22" s="7">
        <f t="shared" si="5"/>
        <v>44079</v>
      </c>
      <c r="N22" s="7">
        <f t="shared" si="5"/>
        <v>44110</v>
      </c>
      <c r="O22" s="7">
        <f t="shared" si="5"/>
        <v>44141</v>
      </c>
      <c r="P22" s="7">
        <f t="shared" si="5"/>
        <v>44172</v>
      </c>
      <c r="Q22" s="75" t="s">
        <v>37</v>
      </c>
      <c r="R22" s="75" t="s">
        <v>38</v>
      </c>
    </row>
    <row r="23" spans="2:19" x14ac:dyDescent="0.2">
      <c r="B23" s="390" t="s">
        <v>39</v>
      </c>
      <c r="C23" s="8" t="s">
        <v>40</v>
      </c>
      <c r="D23" s="73">
        <v>5675711</v>
      </c>
      <c r="E23" s="73">
        <v>5921197</v>
      </c>
      <c r="F23" s="73">
        <v>5636396</v>
      </c>
      <c r="G23" s="73">
        <v>5061010</v>
      </c>
      <c r="H23" s="73">
        <v>5610969</v>
      </c>
      <c r="I23" s="8" t="s">
        <v>41</v>
      </c>
      <c r="J23" s="73">
        <v>1410414</v>
      </c>
      <c r="K23" s="73">
        <v>1376195</v>
      </c>
      <c r="L23" s="73">
        <v>1339035</v>
      </c>
      <c r="M23" s="73">
        <v>1326695</v>
      </c>
      <c r="N23" s="73">
        <v>1298994</v>
      </c>
      <c r="O23" s="73">
        <v>1515076</v>
      </c>
      <c r="P23" s="73">
        <v>1446546</v>
      </c>
      <c r="Q23" s="76">
        <f t="shared" ref="Q23:Q30" si="6">SUM(D23:H23)</f>
        <v>27905283</v>
      </c>
      <c r="R23" s="76">
        <f t="shared" ref="R23:R28" si="7">SUM(J23:P23)</f>
        <v>9712955</v>
      </c>
    </row>
    <row r="24" spans="2:19" x14ac:dyDescent="0.2">
      <c r="B24" s="390"/>
      <c r="C24" s="8" t="s">
        <v>42</v>
      </c>
      <c r="D24" s="73">
        <v>3166714</v>
      </c>
      <c r="E24" s="73">
        <v>3085196</v>
      </c>
      <c r="F24" s="73">
        <v>3168636</v>
      </c>
      <c r="G24" s="73">
        <v>3429758</v>
      </c>
      <c r="H24" s="73">
        <v>3202419</v>
      </c>
      <c r="I24" s="8" t="s">
        <v>43</v>
      </c>
      <c r="J24" s="73">
        <v>4012885</v>
      </c>
      <c r="K24" s="73">
        <v>4013809</v>
      </c>
      <c r="L24" s="73">
        <v>3989176</v>
      </c>
      <c r="M24" s="73">
        <v>3968996</v>
      </c>
      <c r="N24" s="73">
        <v>3967619</v>
      </c>
      <c r="O24" s="73">
        <v>3985408</v>
      </c>
      <c r="P24" s="73">
        <v>4020913</v>
      </c>
      <c r="Q24" s="76">
        <f t="shared" si="6"/>
        <v>16052723</v>
      </c>
      <c r="R24" s="76">
        <f t="shared" si="7"/>
        <v>27958806</v>
      </c>
    </row>
    <row r="25" spans="2:19" x14ac:dyDescent="0.2">
      <c r="B25" s="390"/>
      <c r="C25" s="8" t="s">
        <v>44</v>
      </c>
      <c r="D25" s="73">
        <v>2750823</v>
      </c>
      <c r="E25" s="73">
        <v>2506178</v>
      </c>
      <c r="F25" s="73">
        <v>2829230</v>
      </c>
      <c r="G25" s="73">
        <v>3422917</v>
      </c>
      <c r="H25" s="73">
        <v>2953010</v>
      </c>
      <c r="I25" s="8" t="s">
        <v>45</v>
      </c>
      <c r="J25" s="73">
        <v>2902262</v>
      </c>
      <c r="K25" s="73">
        <v>3022369</v>
      </c>
      <c r="L25" s="73">
        <v>3129115</v>
      </c>
      <c r="M25" s="73">
        <v>3194874</v>
      </c>
      <c r="N25" s="73">
        <v>3403956</v>
      </c>
      <c r="O25" s="73">
        <v>2949970</v>
      </c>
      <c r="P25" s="73">
        <v>3039379</v>
      </c>
      <c r="Q25" s="76">
        <f t="shared" si="6"/>
        <v>14462158</v>
      </c>
      <c r="R25" s="76">
        <f t="shared" si="7"/>
        <v>21641925</v>
      </c>
    </row>
    <row r="26" spans="2:19" x14ac:dyDescent="0.2">
      <c r="B26" s="390"/>
      <c r="C26" s="8" t="s">
        <v>46</v>
      </c>
      <c r="D26" s="73">
        <v>687731</v>
      </c>
      <c r="E26" s="73">
        <v>565246</v>
      </c>
      <c r="F26" s="73">
        <v>667842</v>
      </c>
      <c r="G26" s="73">
        <v>877580</v>
      </c>
      <c r="H26" s="73">
        <v>730417</v>
      </c>
      <c r="I26" s="8" t="s">
        <v>47</v>
      </c>
      <c r="J26" s="73">
        <v>1391477</v>
      </c>
      <c r="K26" s="73">
        <v>1552602</v>
      </c>
      <c r="L26" s="73">
        <v>1682750</v>
      </c>
      <c r="M26" s="73">
        <v>1757482</v>
      </c>
      <c r="N26" s="73">
        <v>1823377</v>
      </c>
      <c r="O26" s="73">
        <v>1418683</v>
      </c>
      <c r="P26" s="73">
        <v>1539631</v>
      </c>
      <c r="Q26" s="76">
        <f t="shared" si="6"/>
        <v>3528816</v>
      </c>
      <c r="R26" s="76">
        <f t="shared" si="7"/>
        <v>11166002</v>
      </c>
    </row>
    <row r="27" spans="2:19" x14ac:dyDescent="0.2">
      <c r="B27" s="390"/>
      <c r="C27" s="8" t="s">
        <v>48</v>
      </c>
      <c r="D27" s="73">
        <v>329446</v>
      </c>
      <c r="E27" s="73">
        <v>260206</v>
      </c>
      <c r="F27" s="73">
        <v>305440</v>
      </c>
      <c r="G27" s="73">
        <v>360176</v>
      </c>
      <c r="H27" s="73">
        <v>337810</v>
      </c>
      <c r="I27" s="125" t="s">
        <v>49</v>
      </c>
      <c r="J27" s="126">
        <v>572284</v>
      </c>
      <c r="K27" s="126">
        <v>648175</v>
      </c>
      <c r="L27" s="126">
        <v>710829</v>
      </c>
      <c r="M27" s="126">
        <v>753068</v>
      </c>
      <c r="N27" s="126">
        <v>758043</v>
      </c>
      <c r="O27" s="126">
        <v>499773</v>
      </c>
      <c r="P27" s="126">
        <v>580701</v>
      </c>
      <c r="Q27" s="76">
        <f t="shared" si="6"/>
        <v>1593078</v>
      </c>
      <c r="R27" s="76">
        <f t="shared" si="7"/>
        <v>4522873</v>
      </c>
    </row>
    <row r="28" spans="2:19" x14ac:dyDescent="0.2">
      <c r="B28" s="390"/>
      <c r="C28" s="8" t="s">
        <v>50</v>
      </c>
      <c r="D28" s="73">
        <v>133059</v>
      </c>
      <c r="E28" s="73">
        <v>109636</v>
      </c>
      <c r="F28" s="73">
        <v>129148</v>
      </c>
      <c r="G28" s="130">
        <v>151917</v>
      </c>
      <c r="H28" s="130">
        <v>145808</v>
      </c>
      <c r="I28" s="131" t="s">
        <v>51</v>
      </c>
      <c r="J28" s="129">
        <v>518868</v>
      </c>
      <c r="K28" s="129">
        <v>568395</v>
      </c>
      <c r="L28" s="129">
        <v>618908</v>
      </c>
      <c r="M28" s="129">
        <v>665024</v>
      </c>
      <c r="N28" s="129">
        <v>580755</v>
      </c>
      <c r="O28" s="129">
        <v>376326</v>
      </c>
      <c r="P28" s="129">
        <v>464538</v>
      </c>
      <c r="Q28" s="76">
        <f t="shared" si="6"/>
        <v>669568</v>
      </c>
      <c r="R28" s="76">
        <f t="shared" si="7"/>
        <v>3792814</v>
      </c>
    </row>
    <row r="29" spans="2:19" x14ac:dyDescent="0.2">
      <c r="B29" s="390"/>
      <c r="C29" s="8" t="s">
        <v>52</v>
      </c>
      <c r="D29" s="73">
        <v>70197</v>
      </c>
      <c r="E29" s="73">
        <v>58711</v>
      </c>
      <c r="F29" s="124">
        <v>63537</v>
      </c>
      <c r="G29" s="129">
        <v>73009</v>
      </c>
      <c r="H29" s="129">
        <v>73711</v>
      </c>
      <c r="I29" s="127"/>
      <c r="J29" s="132"/>
      <c r="K29" s="132"/>
      <c r="L29" s="132"/>
      <c r="M29" s="132"/>
      <c r="N29" s="132"/>
      <c r="O29" s="132"/>
      <c r="P29" s="132"/>
      <c r="Q29" s="76">
        <f t="shared" si="6"/>
        <v>339165</v>
      </c>
      <c r="R29" s="132"/>
    </row>
    <row r="30" spans="2:19" x14ac:dyDescent="0.2">
      <c r="B30" s="390"/>
      <c r="C30" s="8" t="s">
        <v>53</v>
      </c>
      <c r="D30" s="73">
        <v>153626</v>
      </c>
      <c r="E30" s="73">
        <v>149305</v>
      </c>
      <c r="F30" s="124">
        <v>172091</v>
      </c>
      <c r="G30" s="129">
        <v>158550</v>
      </c>
      <c r="H30" s="129">
        <v>147358</v>
      </c>
      <c r="I30" s="127"/>
      <c r="J30" s="132"/>
      <c r="K30" s="132"/>
      <c r="L30" s="132"/>
      <c r="M30" s="132"/>
      <c r="N30" s="132"/>
      <c r="O30" s="132"/>
      <c r="P30" s="132"/>
      <c r="Q30" s="76">
        <f t="shared" si="6"/>
        <v>780930</v>
      </c>
      <c r="R30" s="132"/>
    </row>
    <row r="31" spans="2:19" ht="15" x14ac:dyDescent="0.2">
      <c r="B31" s="389" t="s">
        <v>54</v>
      </c>
      <c r="C31" s="389"/>
      <c r="D31" s="9">
        <f t="shared" ref="D31" si="8" xml:space="preserve"> SUM(D23:D30)</f>
        <v>12967307</v>
      </c>
      <c r="E31" s="9">
        <f t="shared" ref="E31:G31" si="9" xml:space="preserve"> SUM(E23:E30)</f>
        <v>12655675</v>
      </c>
      <c r="F31" s="74">
        <f t="shared" si="9"/>
        <v>12972320</v>
      </c>
      <c r="G31" s="77">
        <f t="shared" si="9"/>
        <v>13534917</v>
      </c>
      <c r="H31" s="77">
        <f t="shared" ref="H31" si="10" xml:space="preserve"> SUM(H23:H30)</f>
        <v>13201502</v>
      </c>
      <c r="I31" s="6" t="s">
        <v>36</v>
      </c>
      <c r="J31" s="77">
        <f t="shared" ref="J31:P31" si="11" xml:space="preserve"> SUM(J23:J30)</f>
        <v>10808190</v>
      </c>
      <c r="K31" s="77">
        <f t="shared" si="11"/>
        <v>11181545</v>
      </c>
      <c r="L31" s="77">
        <f t="shared" si="11"/>
        <v>11469813</v>
      </c>
      <c r="M31" s="77">
        <f t="shared" si="11"/>
        <v>11666139</v>
      </c>
      <c r="N31" s="77">
        <f t="shared" si="11"/>
        <v>11832744</v>
      </c>
      <c r="O31" s="77">
        <f t="shared" si="11"/>
        <v>10745236</v>
      </c>
      <c r="P31" s="77">
        <f t="shared" si="11"/>
        <v>11091708</v>
      </c>
      <c r="Q31" s="77">
        <f>SUM(Q23:Q30)</f>
        <v>65331721</v>
      </c>
      <c r="R31" s="77">
        <f>SUM(R23:R30)</f>
        <v>78795375</v>
      </c>
      <c r="S31" s="11"/>
    </row>
    <row r="32" spans="2:19" x14ac:dyDescent="0.2">
      <c r="B32" s="390" t="s">
        <v>55</v>
      </c>
      <c r="C32" s="8" t="s">
        <v>56</v>
      </c>
      <c r="D32" s="73">
        <v>26990</v>
      </c>
      <c r="E32" s="73">
        <v>27190</v>
      </c>
      <c r="F32" s="73">
        <v>26840</v>
      </c>
      <c r="G32" s="128">
        <v>26810</v>
      </c>
      <c r="H32" s="128">
        <v>26870</v>
      </c>
      <c r="I32" s="8" t="s">
        <v>41</v>
      </c>
      <c r="J32" s="128">
        <v>38894</v>
      </c>
      <c r="K32" s="128">
        <v>36887</v>
      </c>
      <c r="L32" s="128">
        <v>35140</v>
      </c>
      <c r="M32" s="128">
        <v>30187</v>
      </c>
      <c r="N32" s="128">
        <v>25896</v>
      </c>
      <c r="O32" s="128">
        <v>32863</v>
      </c>
      <c r="P32" s="128">
        <v>27132</v>
      </c>
      <c r="Q32" s="76">
        <f t="shared" ref="Q32:Q39" si="12">SUM(D32:H32)</f>
        <v>134700</v>
      </c>
      <c r="R32" s="76">
        <f t="shared" ref="R32:R37" si="13">SUM(J32:P32)</f>
        <v>226999</v>
      </c>
    </row>
    <row r="33" spans="2:18" x14ac:dyDescent="0.2">
      <c r="B33" s="390"/>
      <c r="C33" s="8" t="s">
        <v>57</v>
      </c>
      <c r="D33" s="73">
        <v>1018</v>
      </c>
      <c r="E33" s="73">
        <v>1069</v>
      </c>
      <c r="F33" s="73">
        <v>1100</v>
      </c>
      <c r="G33" s="73">
        <v>1206</v>
      </c>
      <c r="H33" s="73">
        <v>1151</v>
      </c>
      <c r="I33" s="8" t="s">
        <v>43</v>
      </c>
      <c r="J33" s="73">
        <v>95580</v>
      </c>
      <c r="K33" s="73">
        <v>95518</v>
      </c>
      <c r="L33" s="73">
        <v>99831</v>
      </c>
      <c r="M33" s="73">
        <v>97536</v>
      </c>
      <c r="N33" s="73">
        <v>79522</v>
      </c>
      <c r="O33" s="73">
        <v>76761</v>
      </c>
      <c r="P33" s="73">
        <v>80107</v>
      </c>
      <c r="Q33" s="76">
        <f t="shared" si="12"/>
        <v>5544</v>
      </c>
      <c r="R33" s="76">
        <f t="shared" si="13"/>
        <v>624855</v>
      </c>
    </row>
    <row r="34" spans="2:18" x14ac:dyDescent="0.2">
      <c r="B34" s="390"/>
      <c r="C34" s="8" t="s">
        <v>58</v>
      </c>
      <c r="D34" s="73">
        <v>1463</v>
      </c>
      <c r="E34" s="73">
        <v>1107</v>
      </c>
      <c r="F34" s="73">
        <v>1486</v>
      </c>
      <c r="G34" s="73">
        <v>1417</v>
      </c>
      <c r="H34" s="73">
        <v>1403</v>
      </c>
      <c r="I34" s="8" t="s">
        <v>45</v>
      </c>
      <c r="J34" s="73">
        <v>64488</v>
      </c>
      <c r="K34" s="73">
        <v>71447</v>
      </c>
      <c r="L34" s="73">
        <v>76539</v>
      </c>
      <c r="M34" s="73">
        <v>79041</v>
      </c>
      <c r="N34" s="73">
        <v>69656</v>
      </c>
      <c r="O34" s="73">
        <v>58202</v>
      </c>
      <c r="P34" s="73">
        <v>65343</v>
      </c>
      <c r="Q34" s="76">
        <f t="shared" si="12"/>
        <v>6876</v>
      </c>
      <c r="R34" s="76">
        <f t="shared" si="13"/>
        <v>484716</v>
      </c>
    </row>
    <row r="35" spans="2:18" x14ac:dyDescent="0.2">
      <c r="B35" s="390"/>
      <c r="C35" s="8" t="s">
        <v>59</v>
      </c>
      <c r="D35" s="73">
        <v>120</v>
      </c>
      <c r="E35" s="73">
        <v>54</v>
      </c>
      <c r="F35" s="73">
        <v>164</v>
      </c>
      <c r="G35" s="73">
        <v>144</v>
      </c>
      <c r="H35" s="73">
        <v>210</v>
      </c>
      <c r="I35" s="8" t="s">
        <v>47</v>
      </c>
      <c r="J35" s="73">
        <v>25046</v>
      </c>
      <c r="K35" s="73">
        <v>30034</v>
      </c>
      <c r="L35" s="73">
        <v>34325</v>
      </c>
      <c r="M35" s="73">
        <v>37811</v>
      </c>
      <c r="N35" s="73">
        <v>37996</v>
      </c>
      <c r="O35" s="73">
        <v>27201</v>
      </c>
      <c r="P35" s="73">
        <v>32465</v>
      </c>
      <c r="Q35" s="76">
        <f t="shared" si="12"/>
        <v>692</v>
      </c>
      <c r="R35" s="76">
        <f t="shared" si="13"/>
        <v>224878</v>
      </c>
    </row>
    <row r="36" spans="2:18" x14ac:dyDescent="0.2">
      <c r="B36" s="390"/>
      <c r="C36" s="8" t="s">
        <v>60</v>
      </c>
      <c r="D36" s="73">
        <v>121</v>
      </c>
      <c r="E36" s="73">
        <v>0</v>
      </c>
      <c r="F36" s="73">
        <v>83</v>
      </c>
      <c r="G36" s="73">
        <v>88</v>
      </c>
      <c r="H36" s="73">
        <v>0</v>
      </c>
      <c r="I36" s="125" t="s">
        <v>49</v>
      </c>
      <c r="J36" s="73">
        <v>6769</v>
      </c>
      <c r="K36" s="73">
        <v>7970</v>
      </c>
      <c r="L36" s="73">
        <v>9231</v>
      </c>
      <c r="M36" s="73">
        <v>9920</v>
      </c>
      <c r="N36" s="73">
        <v>11131</v>
      </c>
      <c r="O36" s="73">
        <v>7263</v>
      </c>
      <c r="P36" s="73">
        <v>8807</v>
      </c>
      <c r="Q36" s="76">
        <f t="shared" si="12"/>
        <v>292</v>
      </c>
      <c r="R36" s="76">
        <f t="shared" si="13"/>
        <v>61091</v>
      </c>
    </row>
    <row r="37" spans="2:18" x14ac:dyDescent="0.2">
      <c r="B37" s="390"/>
      <c r="C37" s="8" t="s">
        <v>61</v>
      </c>
      <c r="D37" s="73">
        <v>0</v>
      </c>
      <c r="E37" s="73">
        <v>0</v>
      </c>
      <c r="F37" s="73">
        <v>68</v>
      </c>
      <c r="G37" s="73">
        <v>56</v>
      </c>
      <c r="H37" s="73">
        <v>0</v>
      </c>
      <c r="I37" s="131" t="s">
        <v>51</v>
      </c>
      <c r="J37" s="73">
        <v>6171</v>
      </c>
      <c r="K37" s="73">
        <v>6252</v>
      </c>
      <c r="L37" s="73">
        <v>6805</v>
      </c>
      <c r="M37" s="73">
        <v>8614</v>
      </c>
      <c r="N37" s="73">
        <v>6876</v>
      </c>
      <c r="O37" s="73">
        <v>7571</v>
      </c>
      <c r="P37" s="73">
        <v>7562</v>
      </c>
      <c r="Q37" s="76">
        <f t="shared" si="12"/>
        <v>124</v>
      </c>
      <c r="R37" s="76">
        <f t="shared" si="13"/>
        <v>49851</v>
      </c>
    </row>
    <row r="38" spans="2:18" x14ac:dyDescent="0.2">
      <c r="B38" s="390"/>
      <c r="C38" s="8" t="s">
        <v>62</v>
      </c>
      <c r="D38" s="73">
        <v>0</v>
      </c>
      <c r="E38" s="73">
        <v>0</v>
      </c>
      <c r="F38" s="73">
        <v>100</v>
      </c>
      <c r="G38" s="73">
        <v>0</v>
      </c>
      <c r="H38" s="73">
        <v>0</v>
      </c>
      <c r="J38" s="73"/>
      <c r="K38" s="73"/>
      <c r="L38" s="73"/>
      <c r="M38" s="73"/>
      <c r="N38" s="73"/>
      <c r="O38" s="73"/>
      <c r="P38" s="73"/>
      <c r="Q38" s="76">
        <f t="shared" si="12"/>
        <v>100</v>
      </c>
      <c r="R38" s="132"/>
    </row>
    <row r="39" spans="2:18" x14ac:dyDescent="0.2">
      <c r="B39" s="390"/>
      <c r="C39" s="8" t="s">
        <v>53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J39" s="73"/>
      <c r="K39" s="73"/>
      <c r="L39" s="73"/>
      <c r="M39" s="73"/>
      <c r="N39" s="73"/>
      <c r="O39" s="73"/>
      <c r="P39" s="73"/>
      <c r="Q39" s="76">
        <f t="shared" si="12"/>
        <v>0</v>
      </c>
      <c r="R39" s="132"/>
    </row>
    <row r="40" spans="2:18" ht="15" x14ac:dyDescent="0.2">
      <c r="B40" s="389" t="s">
        <v>54</v>
      </c>
      <c r="C40" s="389"/>
      <c r="D40" s="9">
        <f t="shared" ref="D40" si="14">SUM(D32:D39)</f>
        <v>29712</v>
      </c>
      <c r="E40" s="9">
        <f t="shared" ref="E40:G40" si="15">SUM(E32:E39)</f>
        <v>29420</v>
      </c>
      <c r="F40" s="9">
        <f>SUM(F32:F39)</f>
        <v>29841</v>
      </c>
      <c r="G40" s="9">
        <f t="shared" si="15"/>
        <v>29721</v>
      </c>
      <c r="H40" s="9">
        <f t="shared" ref="H40" si="16">SUM(H32:H39)</f>
        <v>29634</v>
      </c>
      <c r="I40" s="133" t="s">
        <v>36</v>
      </c>
      <c r="J40" s="9">
        <f t="shared" ref="J40:R40" si="17">SUM(J32:J39)</f>
        <v>236948</v>
      </c>
      <c r="K40" s="9">
        <f t="shared" si="17"/>
        <v>248108</v>
      </c>
      <c r="L40" s="9">
        <f t="shared" si="17"/>
        <v>261871</v>
      </c>
      <c r="M40" s="9">
        <f t="shared" si="17"/>
        <v>263109</v>
      </c>
      <c r="N40" s="9">
        <f t="shared" si="17"/>
        <v>231077</v>
      </c>
      <c r="O40" s="9">
        <f t="shared" si="17"/>
        <v>209861</v>
      </c>
      <c r="P40" s="9">
        <f t="shared" si="17"/>
        <v>221416</v>
      </c>
      <c r="Q40" s="77">
        <f>SUM(Q32:Q39)</f>
        <v>148328</v>
      </c>
      <c r="R40" s="77">
        <f t="shared" si="17"/>
        <v>1672390</v>
      </c>
    </row>
    <row r="41" spans="2:18" x14ac:dyDescent="0.2">
      <c r="B41" s="391" t="s">
        <v>63</v>
      </c>
      <c r="C41" s="8" t="s">
        <v>64</v>
      </c>
      <c r="D41" s="73">
        <v>348980</v>
      </c>
      <c r="E41" s="73">
        <v>347080</v>
      </c>
      <c r="F41" s="73">
        <v>348100</v>
      </c>
      <c r="G41" s="124">
        <v>384200</v>
      </c>
      <c r="H41" s="124">
        <v>392570</v>
      </c>
      <c r="I41" s="8" t="s">
        <v>41</v>
      </c>
      <c r="J41" s="73">
        <f>38585+40788</f>
        <v>79373</v>
      </c>
      <c r="K41" s="73">
        <f>38576+42825</f>
        <v>81401</v>
      </c>
      <c r="L41" s="73">
        <f>37967+44164</f>
        <v>82131</v>
      </c>
      <c r="M41" s="73">
        <f>38480+43814</f>
        <v>82294</v>
      </c>
      <c r="N41" s="73">
        <f>37921+44072</f>
        <v>81993</v>
      </c>
      <c r="O41" s="73">
        <f>39276+45234</f>
        <v>84510</v>
      </c>
      <c r="P41" s="73">
        <f>38642+43719</f>
        <v>82361</v>
      </c>
      <c r="Q41" s="76">
        <f>SUM(D41:H41)</f>
        <v>1820930</v>
      </c>
      <c r="R41" s="76">
        <f>SUM(J41:P41)</f>
        <v>574063</v>
      </c>
    </row>
    <row r="42" spans="2:18" x14ac:dyDescent="0.2">
      <c r="B42" s="391"/>
      <c r="C42" s="8" t="s">
        <v>65</v>
      </c>
      <c r="D42" s="73">
        <f>68253+94239+58636+64152+56503+55340+565799</f>
        <v>962922</v>
      </c>
      <c r="E42" s="73">
        <f>67969+94056+57952+67953+56680+61444+613568</f>
        <v>1019622</v>
      </c>
      <c r="F42" s="73">
        <f>67894+90144+59607+66579+57972+56821+606783</f>
        <v>1005800</v>
      </c>
      <c r="G42" s="124">
        <f>55531+74341+47733+51165+40211+40377+381541</f>
        <v>690899</v>
      </c>
      <c r="H42" s="124">
        <f>53137+558399</f>
        <v>611536</v>
      </c>
      <c r="I42" s="136" t="s">
        <v>66</v>
      </c>
      <c r="J42" s="73">
        <f>43879+197510+459476</f>
        <v>700865</v>
      </c>
      <c r="K42" s="73">
        <f>45546+214379+503089</f>
        <v>763014</v>
      </c>
      <c r="L42" s="73">
        <f>48151+236993+598259</f>
        <v>883403</v>
      </c>
      <c r="M42" s="73">
        <f>49010+240814+617519</f>
        <v>907343</v>
      </c>
      <c r="N42" s="73">
        <f>48861+251782+655197</f>
        <v>955840</v>
      </c>
      <c r="O42" s="73">
        <f>48089+240965+629951</f>
        <v>919005</v>
      </c>
      <c r="P42" s="73">
        <f>48167+248680+668891</f>
        <v>965738</v>
      </c>
      <c r="Q42" s="76">
        <f>SUM(D42:H42)</f>
        <v>4290779</v>
      </c>
      <c r="R42" s="76">
        <f>SUM(J42:P42)</f>
        <v>6095208</v>
      </c>
    </row>
    <row r="43" spans="2:18" ht="15" x14ac:dyDescent="0.2">
      <c r="B43" s="389" t="s">
        <v>54</v>
      </c>
      <c r="C43" s="389"/>
      <c r="D43" s="9">
        <f t="shared" ref="D43" si="18">SUM(D41:D42)</f>
        <v>1311902</v>
      </c>
      <c r="E43" s="9">
        <f t="shared" ref="E43:G43" si="19">SUM(E41:E42)</f>
        <v>1366702</v>
      </c>
      <c r="F43" s="9">
        <f t="shared" si="19"/>
        <v>1353900</v>
      </c>
      <c r="G43" s="9">
        <f t="shared" si="19"/>
        <v>1075099</v>
      </c>
      <c r="H43" s="9">
        <f t="shared" ref="H43" si="20">SUM(H41:H42)</f>
        <v>1004106</v>
      </c>
      <c r="I43" s="134" t="s">
        <v>36</v>
      </c>
      <c r="J43" s="9">
        <f t="shared" ref="J43:P43" si="21">SUM(J41:J42)</f>
        <v>780238</v>
      </c>
      <c r="K43" s="9">
        <f t="shared" si="21"/>
        <v>844415</v>
      </c>
      <c r="L43" s="9">
        <f t="shared" si="21"/>
        <v>965534</v>
      </c>
      <c r="M43" s="9">
        <f t="shared" si="21"/>
        <v>989637</v>
      </c>
      <c r="N43" s="9">
        <f t="shared" si="21"/>
        <v>1037833</v>
      </c>
      <c r="O43" s="9">
        <f t="shared" si="21"/>
        <v>1003515</v>
      </c>
      <c r="P43" s="9">
        <f t="shared" si="21"/>
        <v>1048099</v>
      </c>
      <c r="Q43" s="9">
        <f>Q41+Q42</f>
        <v>6111709</v>
      </c>
      <c r="R43" s="77">
        <f>SUM(R41:R42)</f>
        <v>6669271</v>
      </c>
    </row>
    <row r="44" spans="2:18" x14ac:dyDescent="0.2">
      <c r="B44" s="391" t="s">
        <v>67</v>
      </c>
      <c r="C44" s="8" t="s">
        <v>64</v>
      </c>
      <c r="D44" s="73">
        <v>4420</v>
      </c>
      <c r="E44" s="73">
        <v>4290</v>
      </c>
      <c r="F44" s="73">
        <v>4200</v>
      </c>
      <c r="G44" s="124">
        <v>4710</v>
      </c>
      <c r="H44" s="124">
        <v>4680</v>
      </c>
      <c r="I44" s="8" t="s">
        <v>41</v>
      </c>
      <c r="J44" s="73">
        <f>392+573</f>
        <v>965</v>
      </c>
      <c r="K44" s="73">
        <f>371+603</f>
        <v>974</v>
      </c>
      <c r="L44" s="73">
        <f>323+559</f>
        <v>882</v>
      </c>
      <c r="M44" s="73">
        <f>334+601</f>
        <v>935</v>
      </c>
      <c r="N44" s="73">
        <f>313+620</f>
        <v>933</v>
      </c>
      <c r="O44" s="73">
        <f>358+503</f>
        <v>861</v>
      </c>
      <c r="P44" s="73">
        <f>355+559</f>
        <v>914</v>
      </c>
      <c r="Q44" s="76">
        <f>SUM(D44:H44)</f>
        <v>22300</v>
      </c>
      <c r="R44" s="76">
        <f>SUM(J44:P44)</f>
        <v>6464</v>
      </c>
    </row>
    <row r="45" spans="2:18" x14ac:dyDescent="0.2">
      <c r="B45" s="391"/>
      <c r="C45" s="8" t="s">
        <v>65</v>
      </c>
      <c r="D45" s="73">
        <f>1090+2644+1975+3567+2311+2937+30143</f>
        <v>44667</v>
      </c>
      <c r="E45" s="73">
        <f>1389+2597+2084+3196+2151+2993+22026</f>
        <v>36436</v>
      </c>
      <c r="F45" s="73">
        <f>1434+2381+2153+3005+2604+2424+22875</f>
        <v>36876</v>
      </c>
      <c r="G45" s="124">
        <f>1215+2016+1925+2938+2548+3046+19203</f>
        <v>32891</v>
      </c>
      <c r="H45" s="124">
        <f>1310+30232</f>
        <v>31542</v>
      </c>
      <c r="I45" s="136" t="s">
        <v>66</v>
      </c>
      <c r="J45" s="73">
        <f>792+7018+25664</f>
        <v>33474</v>
      </c>
      <c r="K45" s="73">
        <f>842+6762+27860</f>
        <v>35464</v>
      </c>
      <c r="L45" s="73">
        <f>850+7165+34831</f>
        <v>42846</v>
      </c>
      <c r="M45" s="73">
        <f>966+7133+35667</f>
        <v>43766</v>
      </c>
      <c r="N45" s="73">
        <f>745+7397+43659</f>
        <v>51801</v>
      </c>
      <c r="O45" s="73">
        <f>866+7197+33765</f>
        <v>41828</v>
      </c>
      <c r="P45" s="73">
        <f>739+7254+31990</f>
        <v>39983</v>
      </c>
      <c r="Q45" s="76">
        <f>SUM(D45:H45)</f>
        <v>182412</v>
      </c>
      <c r="R45" s="76">
        <f>SUM(J45:P45)</f>
        <v>289162</v>
      </c>
    </row>
    <row r="46" spans="2:18" ht="15" x14ac:dyDescent="0.2">
      <c r="B46" s="389" t="s">
        <v>54</v>
      </c>
      <c r="C46" s="389"/>
      <c r="D46" s="9">
        <f t="shared" ref="D46" si="22">SUM(D44:D45)</f>
        <v>49087</v>
      </c>
      <c r="E46" s="9">
        <f t="shared" ref="E46:G46" si="23">SUM(E44:E45)</f>
        <v>40726</v>
      </c>
      <c r="F46" s="9">
        <f t="shared" si="23"/>
        <v>41076</v>
      </c>
      <c r="G46" s="9">
        <f t="shared" si="23"/>
        <v>37601</v>
      </c>
      <c r="H46" s="9">
        <f t="shared" ref="H46" si="24">SUM(H44:H45)</f>
        <v>36222</v>
      </c>
      <c r="I46" s="134" t="s">
        <v>36</v>
      </c>
      <c r="J46" s="9">
        <f t="shared" ref="J46:P46" si="25">SUM(J44:J45)</f>
        <v>34439</v>
      </c>
      <c r="K46" s="9">
        <f t="shared" si="25"/>
        <v>36438</v>
      </c>
      <c r="L46" s="9">
        <f t="shared" si="25"/>
        <v>43728</v>
      </c>
      <c r="M46" s="9">
        <f t="shared" si="25"/>
        <v>44701</v>
      </c>
      <c r="N46" s="9">
        <f t="shared" si="25"/>
        <v>52734</v>
      </c>
      <c r="O46" s="9">
        <f t="shared" si="25"/>
        <v>42689</v>
      </c>
      <c r="P46" s="9">
        <f t="shared" si="25"/>
        <v>40897</v>
      </c>
      <c r="Q46" s="9">
        <f>Q44+Q45</f>
        <v>204712</v>
      </c>
      <c r="R46" s="77">
        <f t="shared" ref="R46" si="26">SUM(R44:R45)</f>
        <v>295626</v>
      </c>
    </row>
    <row r="47" spans="2:18" x14ac:dyDescent="0.2">
      <c r="B47" s="391" t="s">
        <v>68</v>
      </c>
      <c r="C47" s="8" t="s">
        <v>64</v>
      </c>
      <c r="D47" s="73">
        <v>6640</v>
      </c>
      <c r="E47" s="73">
        <v>6700</v>
      </c>
      <c r="F47" s="73">
        <v>7140</v>
      </c>
      <c r="G47" s="124">
        <v>6880</v>
      </c>
      <c r="H47" s="124">
        <v>9220</v>
      </c>
      <c r="I47" s="8" t="s">
        <v>41</v>
      </c>
      <c r="J47" s="73">
        <f>660+998</f>
        <v>1658</v>
      </c>
      <c r="K47" s="73">
        <f>614+820</f>
        <v>1434</v>
      </c>
      <c r="L47" s="73">
        <f>548+819</f>
        <v>1367</v>
      </c>
      <c r="M47" s="73">
        <f>563+831</f>
        <v>1394</v>
      </c>
      <c r="N47" s="73">
        <f>545+725</f>
        <v>1270</v>
      </c>
      <c r="O47" s="73">
        <f>551+788</f>
        <v>1339</v>
      </c>
      <c r="P47" s="73">
        <f>655+1013</f>
        <v>1668</v>
      </c>
      <c r="Q47" s="76">
        <f>SUM(D47:H47)</f>
        <v>36580</v>
      </c>
      <c r="R47" s="76">
        <f>SUM(J47:P47)</f>
        <v>10130</v>
      </c>
    </row>
    <row r="48" spans="2:18" x14ac:dyDescent="0.2">
      <c r="B48" s="391"/>
      <c r="C48" s="8" t="s">
        <v>65</v>
      </c>
      <c r="D48" s="73">
        <f>1947+4179+4873+9471+13621+20906+660360</f>
        <v>715357</v>
      </c>
      <c r="E48" s="73">
        <f>1982+4459+4932+9641+13188+20071+686582</f>
        <v>740855</v>
      </c>
      <c r="F48" s="73">
        <f>1770+3796+4010+9422+11479+21532+649381</f>
        <v>701390</v>
      </c>
      <c r="G48" s="124">
        <f>2279+3983+4300+9470+13652+19083+639933</f>
        <v>692700</v>
      </c>
      <c r="H48" s="124">
        <f>2196+610740</f>
        <v>612936</v>
      </c>
      <c r="I48" s="136" t="s">
        <v>66</v>
      </c>
      <c r="J48" s="73">
        <f>1356+15487+522918</f>
        <v>539761</v>
      </c>
      <c r="K48" s="73">
        <f>1226+15882+568986</f>
        <v>586094</v>
      </c>
      <c r="L48" s="73">
        <f>1055+15594+631779</f>
        <v>648428</v>
      </c>
      <c r="M48" s="73">
        <f>1016+15092+668536</f>
        <v>684644</v>
      </c>
      <c r="N48" s="73">
        <f>973+15632+677110</f>
        <v>693715</v>
      </c>
      <c r="O48" s="73">
        <f>899+16288+691168</f>
        <v>708355</v>
      </c>
      <c r="P48" s="73">
        <f>1136+16049+578656</f>
        <v>595841</v>
      </c>
      <c r="Q48" s="76">
        <f>SUM(D48:H48)</f>
        <v>3463238</v>
      </c>
      <c r="R48" s="76">
        <f>SUM(J48:P48)</f>
        <v>4456838</v>
      </c>
    </row>
    <row r="49" spans="2:18" ht="15" x14ac:dyDescent="0.2">
      <c r="B49" s="389" t="s">
        <v>54</v>
      </c>
      <c r="C49" s="389"/>
      <c r="D49" s="9">
        <f t="shared" ref="D49" si="27">SUM(D47:D48)</f>
        <v>721997</v>
      </c>
      <c r="E49" s="9">
        <f t="shared" ref="E49:G49" si="28">SUM(E47:E48)</f>
        <v>747555</v>
      </c>
      <c r="F49" s="9">
        <f t="shared" si="28"/>
        <v>708530</v>
      </c>
      <c r="G49" s="74">
        <f t="shared" si="28"/>
        <v>699580</v>
      </c>
      <c r="H49" s="74">
        <f t="shared" ref="H49" si="29">SUM(H47:H48)</f>
        <v>622156</v>
      </c>
      <c r="I49" s="135"/>
      <c r="J49" s="9">
        <f t="shared" ref="J49:P49" si="30">SUM(J47:J48)</f>
        <v>541419</v>
      </c>
      <c r="K49" s="9">
        <f t="shared" si="30"/>
        <v>587528</v>
      </c>
      <c r="L49" s="9">
        <f t="shared" si="30"/>
        <v>649795</v>
      </c>
      <c r="M49" s="9">
        <f t="shared" si="30"/>
        <v>686038</v>
      </c>
      <c r="N49" s="9">
        <f t="shared" si="30"/>
        <v>694985</v>
      </c>
      <c r="O49" s="9">
        <f t="shared" si="30"/>
        <v>709694</v>
      </c>
      <c r="P49" s="9">
        <f t="shared" si="30"/>
        <v>597509</v>
      </c>
      <c r="Q49" s="9">
        <f>Q47+Q48</f>
        <v>3499818</v>
      </c>
      <c r="R49" s="77">
        <f t="shared" ref="R49" si="31">SUM(R47:R48)</f>
        <v>4466968</v>
      </c>
    </row>
    <row r="50" spans="2:18" ht="15" x14ac:dyDescent="0.2">
      <c r="B50" s="398" t="s">
        <v>69</v>
      </c>
      <c r="C50" s="398"/>
      <c r="D50" s="88">
        <f t="shared" ref="D50" si="32">(D31+D40+D43+D46+D49)</f>
        <v>15080005</v>
      </c>
      <c r="E50" s="88">
        <f t="shared" ref="E50:G50" si="33">(E31+E40+E43+E46+E49)</f>
        <v>14840078</v>
      </c>
      <c r="F50" s="88">
        <f t="shared" si="33"/>
        <v>15105667</v>
      </c>
      <c r="G50" s="88">
        <f t="shared" si="33"/>
        <v>15376918</v>
      </c>
      <c r="H50" s="88">
        <f t="shared" ref="H50" si="34">(H31+H40+H43+H46+H49)</f>
        <v>14893620</v>
      </c>
      <c r="J50" s="88">
        <f t="shared" ref="J50:P50" si="35">(J31+J40+J43+J46+J49)</f>
        <v>12401234</v>
      </c>
      <c r="K50" s="88">
        <f t="shared" si="35"/>
        <v>12898034</v>
      </c>
      <c r="L50" s="88">
        <f t="shared" si="35"/>
        <v>13390741</v>
      </c>
      <c r="M50" s="88">
        <f t="shared" si="35"/>
        <v>13649624</v>
      </c>
      <c r="N50" s="88">
        <f t="shared" si="35"/>
        <v>13849373</v>
      </c>
      <c r="O50" s="88">
        <f t="shared" si="35"/>
        <v>12710995</v>
      </c>
      <c r="P50" s="88">
        <f t="shared" si="35"/>
        <v>12999629</v>
      </c>
      <c r="Q50" s="153" t="s">
        <v>32</v>
      </c>
      <c r="R50" s="10">
        <f>Q31+Q40+Q43+Q46+Q49+R49+R46+R43+R40+R31</f>
        <v>167195918</v>
      </c>
    </row>
    <row r="51" spans="2:18" ht="15" x14ac:dyDescent="0.2">
      <c r="B51" s="389" t="s">
        <v>70</v>
      </c>
      <c r="C51" s="389"/>
      <c r="D51" s="9">
        <f>43829+10</f>
        <v>43839</v>
      </c>
      <c r="E51" s="9">
        <f>49915+10</f>
        <v>49925</v>
      </c>
      <c r="F51" s="9">
        <f>29166+10</f>
        <v>29176</v>
      </c>
      <c r="G51" s="74">
        <f>10+22993</f>
        <v>23003</v>
      </c>
      <c r="H51" s="74">
        <f>28438+10</f>
        <v>28448</v>
      </c>
      <c r="I51" s="135"/>
      <c r="J51" s="9">
        <v>25721</v>
      </c>
      <c r="K51" s="9">
        <f>23198+10140</f>
        <v>33338</v>
      </c>
      <c r="L51" s="9">
        <f>34836+169</f>
        <v>35005</v>
      </c>
      <c r="M51" s="9">
        <f>0</f>
        <v>0</v>
      </c>
      <c r="N51" s="9">
        <f>6833+67524</f>
        <v>74357</v>
      </c>
      <c r="O51" s="9">
        <f>5772+96704</f>
        <v>102476</v>
      </c>
      <c r="P51" s="9">
        <f>40368</f>
        <v>40368</v>
      </c>
      <c r="Q51" s="9">
        <f>SUM(D51:H51)</f>
        <v>174391</v>
      </c>
      <c r="R51" s="77">
        <f>SUM(J51:P51)</f>
        <v>311265</v>
      </c>
    </row>
    <row r="52" spans="2:18" ht="15" x14ac:dyDescent="0.2">
      <c r="B52" s="398" t="s">
        <v>71</v>
      </c>
      <c r="C52" s="398"/>
      <c r="D52" s="88">
        <f>D40+D43+D46+D49+D51+D31</f>
        <v>15123844</v>
      </c>
      <c r="E52" s="88">
        <f t="shared" ref="E52:F52" si="36">E40+E43+E46+E49+E51+E31</f>
        <v>14890003</v>
      </c>
      <c r="F52" s="88">
        <f t="shared" si="36"/>
        <v>15134843</v>
      </c>
      <c r="G52" s="88">
        <f>G40+G43+G46+G49+G51+G31</f>
        <v>15399921</v>
      </c>
      <c r="H52" s="88">
        <f>H40+H43+H46+H49+H51+H31</f>
        <v>14922068</v>
      </c>
      <c r="J52" s="88">
        <f t="shared" ref="J52:P52" si="37">J40+J43+J46+J49+J51+J31</f>
        <v>12426955</v>
      </c>
      <c r="K52" s="88">
        <f t="shared" si="37"/>
        <v>12931372</v>
      </c>
      <c r="L52" s="88">
        <f t="shared" si="37"/>
        <v>13425746</v>
      </c>
      <c r="M52" s="88">
        <f t="shared" si="37"/>
        <v>13649624</v>
      </c>
      <c r="N52" s="88">
        <f t="shared" si="37"/>
        <v>13923730</v>
      </c>
      <c r="O52" s="88">
        <f t="shared" si="37"/>
        <v>12813471</v>
      </c>
      <c r="P52" s="88">
        <f t="shared" si="37"/>
        <v>13039997</v>
      </c>
      <c r="Q52" s="153" t="s">
        <v>32</v>
      </c>
      <c r="R52" s="10">
        <f>Q31+Q40+Q43+Q46+Q49+R49+R46+R43+R40+R31+Q51+R51</f>
        <v>167681574</v>
      </c>
    </row>
    <row r="53" spans="2:18" ht="15" x14ac:dyDescent="0.25">
      <c r="D53" s="139"/>
      <c r="E53" s="139"/>
      <c r="F53" s="139"/>
      <c r="G53" s="139"/>
      <c r="H53" s="139"/>
      <c r="J53" s="139"/>
      <c r="K53" s="139"/>
      <c r="L53" s="139"/>
      <c r="M53" s="139"/>
      <c r="N53" s="139"/>
      <c r="O53" s="139"/>
      <c r="P53" s="139"/>
      <c r="Q53" s="139"/>
    </row>
    <row r="54" spans="2:18" ht="15" x14ac:dyDescent="0.25">
      <c r="D54" s="139"/>
      <c r="E54" s="139"/>
      <c r="F54" s="139"/>
      <c r="G54" s="139"/>
      <c r="H54" s="139"/>
      <c r="J54" s="139"/>
      <c r="K54" s="139"/>
      <c r="L54" s="139"/>
      <c r="M54" s="139"/>
      <c r="N54" s="139"/>
      <c r="O54" s="139"/>
      <c r="P54" s="139"/>
      <c r="Q54" s="139"/>
    </row>
    <row r="55" spans="2:18" ht="17.25" x14ac:dyDescent="0.2">
      <c r="B55" s="380" t="s">
        <v>72</v>
      </c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</row>
    <row r="56" spans="2:18" ht="15" x14ac:dyDescent="0.2">
      <c r="B56" s="6" t="s">
        <v>35</v>
      </c>
      <c r="C56" s="6" t="s">
        <v>36</v>
      </c>
      <c r="D56" s="7">
        <f>+D22</f>
        <v>43831</v>
      </c>
      <c r="E56" s="7">
        <f>+E22</f>
        <v>43862</v>
      </c>
      <c r="F56" s="7">
        <f>+F22</f>
        <v>43893</v>
      </c>
      <c r="G56" s="7">
        <f>+G22</f>
        <v>43924</v>
      </c>
      <c r="H56" s="7">
        <f>+H22</f>
        <v>43955</v>
      </c>
      <c r="I56" s="6" t="s">
        <v>36</v>
      </c>
      <c r="J56" s="7">
        <f t="shared" ref="J56:P56" si="38">+J22</f>
        <v>43986</v>
      </c>
      <c r="K56" s="7">
        <f t="shared" si="38"/>
        <v>44017</v>
      </c>
      <c r="L56" s="7">
        <f t="shared" si="38"/>
        <v>44048</v>
      </c>
      <c r="M56" s="7">
        <f t="shared" si="38"/>
        <v>44079</v>
      </c>
      <c r="N56" s="7">
        <f t="shared" si="38"/>
        <v>44110</v>
      </c>
      <c r="O56" s="7">
        <f t="shared" si="38"/>
        <v>44141</v>
      </c>
      <c r="P56" s="7">
        <f t="shared" si="38"/>
        <v>44172</v>
      </c>
      <c r="Q56" s="75" t="s">
        <v>37</v>
      </c>
      <c r="R56" s="75" t="s">
        <v>38</v>
      </c>
    </row>
    <row r="57" spans="2:18" x14ac:dyDescent="0.2">
      <c r="B57" s="390" t="s">
        <v>39</v>
      </c>
      <c r="C57" s="8" t="s">
        <v>40</v>
      </c>
      <c r="D57" s="73">
        <v>5110112</v>
      </c>
      <c r="E57" s="73">
        <v>5202085</v>
      </c>
      <c r="F57" s="73">
        <v>4953842</v>
      </c>
      <c r="G57" s="73">
        <v>4432664</v>
      </c>
      <c r="H57" s="73">
        <v>4822040.6500000004</v>
      </c>
      <c r="I57" s="8" t="s">
        <v>41</v>
      </c>
      <c r="J57" s="73">
        <v>1261698</v>
      </c>
      <c r="K57" s="73">
        <v>1234646</v>
      </c>
      <c r="L57" s="73">
        <v>1203353</v>
      </c>
      <c r="M57" s="73">
        <v>1198775</v>
      </c>
      <c r="N57" s="73">
        <v>1175543</v>
      </c>
      <c r="O57" s="73">
        <v>1362569</v>
      </c>
      <c r="P57" s="73">
        <v>1305045</v>
      </c>
      <c r="Q57" s="76">
        <f>SUM(D57:H57)</f>
        <v>24520743.649999999</v>
      </c>
      <c r="R57" s="76">
        <f t="shared" ref="R57:R62" si="39">SUM(J57:P57)</f>
        <v>8741629</v>
      </c>
    </row>
    <row r="58" spans="2:18" x14ac:dyDescent="0.2">
      <c r="B58" s="390"/>
      <c r="C58" s="8" t="s">
        <v>42</v>
      </c>
      <c r="D58" s="73">
        <v>2680699</v>
      </c>
      <c r="E58" s="73">
        <v>2736246</v>
      </c>
      <c r="F58" s="73">
        <v>2812316</v>
      </c>
      <c r="G58" s="73">
        <v>3072143</v>
      </c>
      <c r="H58" s="73">
        <v>2911997.34</v>
      </c>
      <c r="I58" s="8" t="s">
        <v>43</v>
      </c>
      <c r="J58" s="73">
        <v>3623530</v>
      </c>
      <c r="K58" s="73">
        <v>3636332</v>
      </c>
      <c r="L58" s="73">
        <v>3618715</v>
      </c>
      <c r="M58" s="73">
        <v>3612495</v>
      </c>
      <c r="N58" s="73">
        <v>3617390</v>
      </c>
      <c r="O58" s="73">
        <v>3611451</v>
      </c>
      <c r="P58" s="73">
        <v>3655691</v>
      </c>
      <c r="Q58" s="76">
        <f t="shared" ref="Q58:Q82" si="40">SUM(D58:H58)</f>
        <v>14213401.34</v>
      </c>
      <c r="R58" s="76">
        <f t="shared" si="39"/>
        <v>25375604</v>
      </c>
    </row>
    <row r="59" spans="2:18" x14ac:dyDescent="0.2">
      <c r="B59" s="390"/>
      <c r="C59" s="8" t="s">
        <v>44</v>
      </c>
      <c r="D59" s="73">
        <v>2016125</v>
      </c>
      <c r="E59" s="73">
        <v>2074021</v>
      </c>
      <c r="F59" s="73">
        <v>2370878</v>
      </c>
      <c r="G59" s="73">
        <v>2910924</v>
      </c>
      <c r="H59" s="73">
        <v>2538294.7000000002</v>
      </c>
      <c r="I59" s="8" t="s">
        <v>45</v>
      </c>
      <c r="J59" s="73">
        <v>2506317</v>
      </c>
      <c r="K59" s="73">
        <v>2616614</v>
      </c>
      <c r="L59" s="73">
        <v>2717315</v>
      </c>
      <c r="M59" s="73">
        <v>2787744</v>
      </c>
      <c r="N59" s="73">
        <v>2987029</v>
      </c>
      <c r="O59" s="73">
        <v>2567331</v>
      </c>
      <c r="P59" s="73">
        <v>2649294</v>
      </c>
      <c r="Q59" s="76">
        <f t="shared" si="40"/>
        <v>11910242.699999999</v>
      </c>
      <c r="R59" s="76">
        <f t="shared" si="39"/>
        <v>18831644</v>
      </c>
    </row>
    <row r="60" spans="2:18" x14ac:dyDescent="0.2">
      <c r="B60" s="390"/>
      <c r="C60" s="8" t="s">
        <v>46</v>
      </c>
      <c r="D60" s="73">
        <v>411997</v>
      </c>
      <c r="E60" s="73">
        <v>382881</v>
      </c>
      <c r="F60" s="73">
        <v>465457</v>
      </c>
      <c r="G60" s="73">
        <v>635380</v>
      </c>
      <c r="H60" s="73">
        <v>507537.8</v>
      </c>
      <c r="I60" s="8" t="s">
        <v>47</v>
      </c>
      <c r="J60" s="73">
        <v>1057426</v>
      </c>
      <c r="K60" s="73">
        <v>1188135</v>
      </c>
      <c r="L60" s="73">
        <v>1297367</v>
      </c>
      <c r="M60" s="73">
        <v>1359659</v>
      </c>
      <c r="N60" s="73">
        <v>1421871</v>
      </c>
      <c r="O60" s="73">
        <v>1106369</v>
      </c>
      <c r="P60" s="73">
        <v>1207785</v>
      </c>
      <c r="Q60" s="76">
        <f t="shared" si="40"/>
        <v>2403252.7999999998</v>
      </c>
      <c r="R60" s="76">
        <f t="shared" si="39"/>
        <v>8638612</v>
      </c>
    </row>
    <row r="61" spans="2:18" x14ac:dyDescent="0.2">
      <c r="B61" s="390"/>
      <c r="C61" s="8" t="s">
        <v>48</v>
      </c>
      <c r="D61" s="73">
        <v>160956</v>
      </c>
      <c r="E61" s="73">
        <v>148030</v>
      </c>
      <c r="F61" s="73">
        <v>175742</v>
      </c>
      <c r="G61" s="73">
        <v>211818</v>
      </c>
      <c r="H61" s="73">
        <v>190984</v>
      </c>
      <c r="I61" s="125" t="s">
        <v>49</v>
      </c>
      <c r="J61" s="73">
        <v>343682</v>
      </c>
      <c r="K61" s="73">
        <v>377711</v>
      </c>
      <c r="L61" s="73">
        <v>410948</v>
      </c>
      <c r="M61" s="73">
        <v>431585</v>
      </c>
      <c r="N61" s="73">
        <v>459709</v>
      </c>
      <c r="O61" s="73">
        <v>309812</v>
      </c>
      <c r="P61" s="73">
        <v>359711</v>
      </c>
      <c r="Q61" s="76">
        <f t="shared" si="40"/>
        <v>887530</v>
      </c>
      <c r="R61" s="76">
        <f t="shared" si="39"/>
        <v>2693158</v>
      </c>
    </row>
    <row r="62" spans="2:18" x14ac:dyDescent="0.2">
      <c r="B62" s="390"/>
      <c r="C62" s="8" t="s">
        <v>50</v>
      </c>
      <c r="D62" s="73">
        <v>62652</v>
      </c>
      <c r="E62" s="73">
        <v>62357</v>
      </c>
      <c r="F62" s="73">
        <v>69324</v>
      </c>
      <c r="G62" s="73">
        <v>79328</v>
      </c>
      <c r="H62" s="73">
        <v>73002.7</v>
      </c>
      <c r="I62" s="131" t="s">
        <v>51</v>
      </c>
      <c r="J62" s="73">
        <v>273130</v>
      </c>
      <c r="K62" s="73">
        <v>297296</v>
      </c>
      <c r="L62" s="73">
        <v>312386</v>
      </c>
      <c r="M62" s="73">
        <v>345458</v>
      </c>
      <c r="N62" s="73">
        <v>310376</v>
      </c>
      <c r="O62" s="73">
        <v>216231</v>
      </c>
      <c r="P62" s="73">
        <v>262414</v>
      </c>
      <c r="Q62" s="76">
        <f t="shared" si="40"/>
        <v>346663.7</v>
      </c>
      <c r="R62" s="76">
        <f t="shared" si="39"/>
        <v>2017291</v>
      </c>
    </row>
    <row r="63" spans="2:18" x14ac:dyDescent="0.2">
      <c r="B63" s="390"/>
      <c r="C63" s="8" t="s">
        <v>52</v>
      </c>
      <c r="D63" s="73">
        <v>30495</v>
      </c>
      <c r="E63" s="73">
        <v>32747</v>
      </c>
      <c r="F63" s="73">
        <v>33890</v>
      </c>
      <c r="G63" s="73">
        <v>40425</v>
      </c>
      <c r="H63" s="73">
        <v>36804</v>
      </c>
      <c r="I63" s="127"/>
      <c r="J63" s="73"/>
      <c r="K63" s="73"/>
      <c r="L63" s="73"/>
      <c r="M63" s="73"/>
      <c r="N63" s="73"/>
      <c r="O63" s="73"/>
      <c r="P63" s="73"/>
      <c r="Q63" s="76">
        <f t="shared" si="40"/>
        <v>174361</v>
      </c>
      <c r="R63" s="132"/>
    </row>
    <row r="64" spans="2:18" x14ac:dyDescent="0.2">
      <c r="B64" s="390"/>
      <c r="C64" s="8" t="s">
        <v>53</v>
      </c>
      <c r="D64" s="73">
        <v>116227</v>
      </c>
      <c r="E64" s="73">
        <v>91999</v>
      </c>
      <c r="F64" s="73">
        <v>114780</v>
      </c>
      <c r="G64" s="73">
        <v>100744</v>
      </c>
      <c r="H64" s="73">
        <v>91056.2</v>
      </c>
      <c r="I64" s="127"/>
      <c r="J64" s="73"/>
      <c r="K64" s="73"/>
      <c r="L64" s="73"/>
      <c r="M64" s="73"/>
      <c r="N64" s="73"/>
      <c r="O64" s="73"/>
      <c r="P64" s="73"/>
      <c r="Q64" s="76">
        <f t="shared" si="40"/>
        <v>514806.2</v>
      </c>
      <c r="R64" s="132"/>
    </row>
    <row r="65" spans="2:19" ht="15" x14ac:dyDescent="0.2">
      <c r="B65" s="389" t="s">
        <v>54</v>
      </c>
      <c r="C65" s="389"/>
      <c r="D65" s="9">
        <f xml:space="preserve"> SUM(D57:D64)</f>
        <v>10589263</v>
      </c>
      <c r="E65" s="9">
        <f t="shared" ref="E65:G65" si="41" xml:space="preserve"> SUM(E57:E64)</f>
        <v>10730366</v>
      </c>
      <c r="F65" s="9">
        <f t="shared" si="41"/>
        <v>10996229</v>
      </c>
      <c r="G65" s="9">
        <f t="shared" si="41"/>
        <v>11483426</v>
      </c>
      <c r="H65" s="9">
        <f t="shared" ref="H65" si="42" xml:space="preserve"> SUM(H57:H64)</f>
        <v>11171717.390000001</v>
      </c>
      <c r="I65" s="6" t="s">
        <v>36</v>
      </c>
      <c r="J65" s="9">
        <f t="shared" ref="J65:P65" si="43" xml:space="preserve"> SUM(J57:J64)</f>
        <v>9065783</v>
      </c>
      <c r="K65" s="9">
        <f t="shared" si="43"/>
        <v>9350734</v>
      </c>
      <c r="L65" s="9">
        <f t="shared" si="43"/>
        <v>9560084</v>
      </c>
      <c r="M65" s="9">
        <f t="shared" si="43"/>
        <v>9735716</v>
      </c>
      <c r="N65" s="9">
        <f t="shared" si="43"/>
        <v>9971918</v>
      </c>
      <c r="O65" s="9">
        <f t="shared" si="43"/>
        <v>9173763</v>
      </c>
      <c r="P65" s="9">
        <f t="shared" si="43"/>
        <v>9439940</v>
      </c>
      <c r="Q65" s="77">
        <f>SUM(Q57:Q64)</f>
        <v>54971001.390000001</v>
      </c>
      <c r="R65" s="77">
        <f>SUM(R57:R64)</f>
        <v>66297938</v>
      </c>
      <c r="S65" s="11">
        <f>Q65+R65</f>
        <v>121268939.39</v>
      </c>
    </row>
    <row r="66" spans="2:19" x14ac:dyDescent="0.2">
      <c r="B66" s="390" t="s">
        <v>55</v>
      </c>
      <c r="C66" s="8" t="s">
        <v>56</v>
      </c>
      <c r="D66" s="73">
        <v>2390</v>
      </c>
      <c r="E66" s="73">
        <v>2788</v>
      </c>
      <c r="F66" s="73">
        <v>2732</v>
      </c>
      <c r="G66" s="73">
        <v>2796</v>
      </c>
      <c r="H66" s="73">
        <v>2914</v>
      </c>
      <c r="I66" s="8" t="s">
        <v>41</v>
      </c>
      <c r="J66" s="73">
        <v>32663</v>
      </c>
      <c r="K66" s="73">
        <v>30933</v>
      </c>
      <c r="L66" s="73">
        <v>29597</v>
      </c>
      <c r="M66" s="73">
        <v>25234</v>
      </c>
      <c r="N66" s="73">
        <v>21932</v>
      </c>
      <c r="O66" s="73">
        <v>28038</v>
      </c>
      <c r="P66" s="73">
        <v>22625</v>
      </c>
      <c r="Q66" s="76">
        <f t="shared" si="40"/>
        <v>13620</v>
      </c>
      <c r="R66" s="76">
        <f t="shared" ref="R66:R71" si="44">SUM(J66:P66)</f>
        <v>191022</v>
      </c>
    </row>
    <row r="67" spans="2:19" x14ac:dyDescent="0.2">
      <c r="B67" s="390"/>
      <c r="C67" s="8" t="s">
        <v>57</v>
      </c>
      <c r="D67" s="73">
        <v>222</v>
      </c>
      <c r="E67" s="73">
        <v>327</v>
      </c>
      <c r="F67" s="73">
        <v>349</v>
      </c>
      <c r="G67" s="73">
        <v>387</v>
      </c>
      <c r="H67" s="73">
        <v>340.8</v>
      </c>
      <c r="I67" s="8" t="s">
        <v>43</v>
      </c>
      <c r="J67" s="73">
        <v>76937</v>
      </c>
      <c r="K67" s="73">
        <v>77342</v>
      </c>
      <c r="L67" s="73">
        <v>82133</v>
      </c>
      <c r="M67" s="73">
        <v>80801</v>
      </c>
      <c r="N67" s="73">
        <v>65328</v>
      </c>
      <c r="O67" s="73">
        <v>61702</v>
      </c>
      <c r="P67" s="73">
        <v>65713</v>
      </c>
      <c r="Q67" s="76">
        <f t="shared" si="40"/>
        <v>1625.8</v>
      </c>
      <c r="R67" s="76">
        <f t="shared" si="44"/>
        <v>509956</v>
      </c>
    </row>
    <row r="68" spans="2:19" x14ac:dyDescent="0.2">
      <c r="B68" s="390"/>
      <c r="C68" s="8" t="s">
        <v>58</v>
      </c>
      <c r="D68" s="73">
        <v>311</v>
      </c>
      <c r="E68" s="73">
        <v>464</v>
      </c>
      <c r="F68" s="73">
        <v>533</v>
      </c>
      <c r="G68" s="73">
        <v>551</v>
      </c>
      <c r="H68" s="73">
        <v>371.8</v>
      </c>
      <c r="I68" s="8" t="s">
        <v>45</v>
      </c>
      <c r="J68" s="73">
        <v>48002</v>
      </c>
      <c r="K68" s="73">
        <v>53217</v>
      </c>
      <c r="L68" s="73">
        <v>57091</v>
      </c>
      <c r="M68" s="73">
        <v>59406</v>
      </c>
      <c r="N68" s="73">
        <v>52836</v>
      </c>
      <c r="O68" s="73">
        <v>43995</v>
      </c>
      <c r="P68" s="73">
        <v>49630</v>
      </c>
      <c r="Q68" s="76">
        <f t="shared" si="40"/>
        <v>2230.8000000000002</v>
      </c>
      <c r="R68" s="76">
        <f t="shared" si="44"/>
        <v>364177</v>
      </c>
    </row>
    <row r="69" spans="2:19" x14ac:dyDescent="0.2">
      <c r="B69" s="390"/>
      <c r="C69" s="8" t="s">
        <v>59</v>
      </c>
      <c r="D69" s="73">
        <v>0</v>
      </c>
      <c r="E69" s="73">
        <v>0</v>
      </c>
      <c r="F69" s="73">
        <v>46</v>
      </c>
      <c r="G69" s="73">
        <v>21</v>
      </c>
      <c r="H69" s="73">
        <v>104.4</v>
      </c>
      <c r="I69" s="8" t="s">
        <v>47</v>
      </c>
      <c r="J69" s="73">
        <v>17155</v>
      </c>
      <c r="K69" s="73">
        <v>20558</v>
      </c>
      <c r="L69" s="73">
        <v>23153</v>
      </c>
      <c r="M69" s="73">
        <v>25983</v>
      </c>
      <c r="N69" s="73">
        <v>26339</v>
      </c>
      <c r="O69" s="73">
        <v>18853</v>
      </c>
      <c r="P69" s="73">
        <v>23018</v>
      </c>
      <c r="Q69" s="76">
        <f t="shared" si="40"/>
        <v>171.4</v>
      </c>
      <c r="R69" s="76">
        <f t="shared" si="44"/>
        <v>155059</v>
      </c>
    </row>
    <row r="70" spans="2:19" x14ac:dyDescent="0.2">
      <c r="B70" s="390"/>
      <c r="C70" s="8" t="s">
        <v>60</v>
      </c>
      <c r="D70" s="73">
        <v>0</v>
      </c>
      <c r="E70" s="73">
        <v>0</v>
      </c>
      <c r="F70" s="73"/>
      <c r="G70" s="73">
        <v>0</v>
      </c>
      <c r="H70" s="73">
        <v>0</v>
      </c>
      <c r="I70" s="125" t="s">
        <v>49</v>
      </c>
      <c r="J70" s="73">
        <v>3634</v>
      </c>
      <c r="K70" s="73">
        <v>5264</v>
      </c>
      <c r="L70" s="73">
        <v>5356</v>
      </c>
      <c r="M70" s="73">
        <v>5828</v>
      </c>
      <c r="N70" s="73">
        <v>6619</v>
      </c>
      <c r="O70" s="73">
        <v>4548</v>
      </c>
      <c r="P70" s="73">
        <v>5641</v>
      </c>
      <c r="Q70" s="76">
        <f t="shared" si="40"/>
        <v>0</v>
      </c>
      <c r="R70" s="76">
        <f t="shared" si="44"/>
        <v>36890</v>
      </c>
    </row>
    <row r="71" spans="2:19" x14ac:dyDescent="0.2">
      <c r="B71" s="390"/>
      <c r="C71" s="8" t="s">
        <v>61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131" t="s">
        <v>51</v>
      </c>
      <c r="J71" s="73">
        <v>4201</v>
      </c>
      <c r="K71" s="73">
        <v>3435</v>
      </c>
      <c r="L71" s="73">
        <v>3671</v>
      </c>
      <c r="M71" s="73">
        <v>3740</v>
      </c>
      <c r="N71" s="73">
        <v>3536</v>
      </c>
      <c r="O71" s="73">
        <v>4433</v>
      </c>
      <c r="P71" s="73">
        <v>4404</v>
      </c>
      <c r="Q71" s="76">
        <f t="shared" si="40"/>
        <v>0</v>
      </c>
      <c r="R71" s="76">
        <f t="shared" si="44"/>
        <v>27420</v>
      </c>
    </row>
    <row r="72" spans="2:19" x14ac:dyDescent="0.2">
      <c r="B72" s="390"/>
      <c r="C72" s="8" t="s">
        <v>62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J72" s="73"/>
      <c r="K72" s="73"/>
      <c r="L72" s="73"/>
      <c r="M72" s="73"/>
      <c r="N72" s="73"/>
      <c r="O72" s="73"/>
      <c r="P72" s="73"/>
      <c r="Q72" s="76">
        <f t="shared" si="40"/>
        <v>0</v>
      </c>
      <c r="R72" s="132"/>
    </row>
    <row r="73" spans="2:19" x14ac:dyDescent="0.2">
      <c r="B73" s="390"/>
      <c r="C73" s="8" t="s">
        <v>53</v>
      </c>
      <c r="D73" s="73">
        <v>701</v>
      </c>
      <c r="E73" s="73">
        <v>0</v>
      </c>
      <c r="F73" s="73">
        <v>0</v>
      </c>
      <c r="G73" s="73">
        <v>0</v>
      </c>
      <c r="H73" s="73">
        <v>0</v>
      </c>
      <c r="J73" s="73"/>
      <c r="K73" s="73"/>
      <c r="L73" s="73"/>
      <c r="M73" s="73"/>
      <c r="N73" s="73"/>
      <c r="O73" s="73"/>
      <c r="P73" s="73"/>
      <c r="Q73" s="76">
        <f t="shared" si="40"/>
        <v>701</v>
      </c>
      <c r="R73" s="132"/>
    </row>
    <row r="74" spans="2:19" ht="15" x14ac:dyDescent="0.2">
      <c r="B74" s="389" t="s">
        <v>54</v>
      </c>
      <c r="C74" s="389"/>
      <c r="D74" s="9">
        <f>SUM(D66:D73)</f>
        <v>3624</v>
      </c>
      <c r="E74" s="9">
        <f t="shared" ref="E74:G74" si="45">SUM(E66:E73)</f>
        <v>3579</v>
      </c>
      <c r="F74" s="9">
        <f t="shared" si="45"/>
        <v>3660</v>
      </c>
      <c r="G74" s="9">
        <f t="shared" si="45"/>
        <v>3755</v>
      </c>
      <c r="H74" s="9">
        <f t="shared" ref="H74" si="46">SUM(H66:H73)</f>
        <v>3731.0000000000005</v>
      </c>
      <c r="I74" s="133" t="s">
        <v>36</v>
      </c>
      <c r="J74" s="9">
        <f t="shared" ref="J74:R74" si="47">SUM(J66:J73)</f>
        <v>182592</v>
      </c>
      <c r="K74" s="9">
        <f t="shared" si="47"/>
        <v>190749</v>
      </c>
      <c r="L74" s="9">
        <f t="shared" si="47"/>
        <v>201001</v>
      </c>
      <c r="M74" s="9">
        <f t="shared" si="47"/>
        <v>200992</v>
      </c>
      <c r="N74" s="9">
        <f t="shared" si="47"/>
        <v>176590</v>
      </c>
      <c r="O74" s="9">
        <f t="shared" si="47"/>
        <v>161569</v>
      </c>
      <c r="P74" s="9">
        <f t="shared" si="47"/>
        <v>171031</v>
      </c>
      <c r="Q74" s="77">
        <f>SUM(Q66:Q73)</f>
        <v>18349</v>
      </c>
      <c r="R74" s="77">
        <f t="shared" si="47"/>
        <v>1284524</v>
      </c>
    </row>
    <row r="75" spans="2:19" x14ac:dyDescent="0.2">
      <c r="B75" s="391" t="s">
        <v>63</v>
      </c>
      <c r="C75" s="8" t="s">
        <v>64</v>
      </c>
      <c r="D75" s="73">
        <v>314931</v>
      </c>
      <c r="E75" s="73">
        <v>318171</v>
      </c>
      <c r="F75" s="73">
        <v>319662</v>
      </c>
      <c r="G75" s="73">
        <v>353995</v>
      </c>
      <c r="H75" s="73">
        <v>361813.18</v>
      </c>
      <c r="I75" s="8" t="s">
        <v>41</v>
      </c>
      <c r="J75" s="73">
        <f>35765+37187</f>
        <v>72952</v>
      </c>
      <c r="K75" s="73">
        <f>36112+39208</f>
        <v>75320</v>
      </c>
      <c r="L75" s="73">
        <f>35559+40763</f>
        <v>76322</v>
      </c>
      <c r="M75" s="73">
        <f>36233+40466</f>
        <v>76699</v>
      </c>
      <c r="N75" s="73">
        <f>35246+40870</f>
        <v>76116</v>
      </c>
      <c r="O75" s="73">
        <f>37010+41883</f>
        <v>78893</v>
      </c>
      <c r="P75" s="73">
        <f>36320+40436</f>
        <v>76756</v>
      </c>
      <c r="Q75" s="76">
        <f t="shared" si="40"/>
        <v>1668572.18</v>
      </c>
      <c r="R75" s="76">
        <f>SUM(J75:P75)</f>
        <v>533058</v>
      </c>
    </row>
    <row r="76" spans="2:19" x14ac:dyDescent="0.2">
      <c r="B76" s="391"/>
      <c r="C76" s="8" t="s">
        <v>65</v>
      </c>
      <c r="D76" s="73">
        <f>58125+79107+48471+58091+43108+48431+539470</f>
        <v>874803</v>
      </c>
      <c r="E76" s="73">
        <f>61465+85327+53119+60309+51603+54854+610566</f>
        <v>977243</v>
      </c>
      <c r="F76" s="73">
        <f>61988+81610+53104+59282+52390+52055+609509</f>
        <v>969938</v>
      </c>
      <c r="G76" s="73">
        <f>50305+66417+42694+45704+35271+36496+381724</f>
        <v>658611</v>
      </c>
      <c r="H76" s="73">
        <v>567867.31999999995</v>
      </c>
      <c r="I76" s="136" t="s">
        <v>66</v>
      </c>
      <c r="J76" s="73">
        <f>40092+177275+434079</f>
        <v>651446</v>
      </c>
      <c r="K76" s="73">
        <f>41645+191519+478680</f>
        <v>711844</v>
      </c>
      <c r="L76" s="73">
        <f>44081+212023+568498</f>
        <v>824602</v>
      </c>
      <c r="M76" s="73">
        <f>45179+215061+588626</f>
        <v>848866</v>
      </c>
      <c r="N76" s="73">
        <f>44815+226697+629303</f>
        <v>900815</v>
      </c>
      <c r="O76" s="73">
        <f>44150+217268+611567</f>
        <v>872985</v>
      </c>
      <c r="P76" s="73">
        <f>44340+224824+646496</f>
        <v>915660</v>
      </c>
      <c r="Q76" s="76">
        <f t="shared" si="40"/>
        <v>4048462.32</v>
      </c>
      <c r="R76" s="76">
        <f>SUM(J76:P76)</f>
        <v>5726218</v>
      </c>
    </row>
    <row r="77" spans="2:19" ht="15" x14ac:dyDescent="0.2">
      <c r="B77" s="389" t="s">
        <v>54</v>
      </c>
      <c r="C77" s="389"/>
      <c r="D77" s="9">
        <f>SUM(D75:D76)</f>
        <v>1189734</v>
      </c>
      <c r="E77" s="9">
        <f t="shared" ref="E77:G77" si="48">SUM(E75:E76)</f>
        <v>1295414</v>
      </c>
      <c r="F77" s="9">
        <f t="shared" si="48"/>
        <v>1289600</v>
      </c>
      <c r="G77" s="9">
        <f t="shared" si="48"/>
        <v>1012606</v>
      </c>
      <c r="H77" s="9">
        <f t="shared" ref="H77" si="49">SUM(H75:H76)</f>
        <v>929680.5</v>
      </c>
      <c r="I77" s="134" t="s">
        <v>36</v>
      </c>
      <c r="J77" s="9">
        <f t="shared" ref="J77:P77" si="50">SUM(J75:J76)</f>
        <v>724398</v>
      </c>
      <c r="K77" s="9">
        <f t="shared" si="50"/>
        <v>787164</v>
      </c>
      <c r="L77" s="9">
        <f t="shared" si="50"/>
        <v>900924</v>
      </c>
      <c r="M77" s="9">
        <f t="shared" si="50"/>
        <v>925565</v>
      </c>
      <c r="N77" s="9">
        <f t="shared" si="50"/>
        <v>976931</v>
      </c>
      <c r="O77" s="9">
        <f t="shared" si="50"/>
        <v>951878</v>
      </c>
      <c r="P77" s="9">
        <f t="shared" si="50"/>
        <v>992416</v>
      </c>
      <c r="Q77" s="9">
        <f>Q75+Q76</f>
        <v>5717034.5</v>
      </c>
      <c r="R77" s="77">
        <f>SUM(R75:R76)</f>
        <v>6259276</v>
      </c>
    </row>
    <row r="78" spans="2:19" x14ac:dyDescent="0.2">
      <c r="B78" s="391" t="s">
        <v>67</v>
      </c>
      <c r="C78" s="8" t="s">
        <v>64</v>
      </c>
      <c r="D78" s="73">
        <v>4713</v>
      </c>
      <c r="E78" s="73">
        <v>3361</v>
      </c>
      <c r="F78" s="73">
        <v>3276</v>
      </c>
      <c r="G78" s="73">
        <v>3736</v>
      </c>
      <c r="H78" s="73">
        <v>3690</v>
      </c>
      <c r="I78" s="8" t="s">
        <v>41</v>
      </c>
      <c r="J78" s="73">
        <f>315+464</f>
        <v>779</v>
      </c>
      <c r="K78" s="73">
        <f>307+478</f>
        <v>785</v>
      </c>
      <c r="L78" s="73">
        <f>250+467</f>
        <v>717</v>
      </c>
      <c r="M78" s="73">
        <f>274+466</f>
        <v>740</v>
      </c>
      <c r="N78" s="73">
        <f>250+507</f>
        <v>757</v>
      </c>
      <c r="O78" s="73">
        <f>285+406</f>
        <v>691</v>
      </c>
      <c r="P78" s="73">
        <f>267+491</f>
        <v>758</v>
      </c>
      <c r="Q78" s="76">
        <f t="shared" si="40"/>
        <v>18776</v>
      </c>
      <c r="R78" s="76">
        <f>SUM(J78:P78)</f>
        <v>5227</v>
      </c>
    </row>
    <row r="79" spans="2:19" x14ac:dyDescent="0.2">
      <c r="B79" s="391"/>
      <c r="C79" s="8" t="s">
        <v>65</v>
      </c>
      <c r="D79" s="73">
        <f>898+1630+1874+3120+1777+1666+18972</f>
        <v>29937</v>
      </c>
      <c r="E79" s="73">
        <f>1140+2067+1498+2443+1816+1906+17645</f>
        <v>28515</v>
      </c>
      <c r="F79" s="73">
        <f>1171+1930+1623+2415+2209+1449+18688</f>
        <v>29485</v>
      </c>
      <c r="G79" s="73">
        <f>979+1506+1434+2467+2008+1991+16256</f>
        <v>26641</v>
      </c>
      <c r="H79" s="73">
        <v>24496.969999999972</v>
      </c>
      <c r="I79" s="136" t="s">
        <v>66</v>
      </c>
      <c r="J79" s="73">
        <f>702+5395+19644</f>
        <v>25741</v>
      </c>
      <c r="K79" s="73">
        <f>756+5271+21057</f>
        <v>27084</v>
      </c>
      <c r="L79" s="73">
        <f>728+5581+27367</f>
        <v>33676</v>
      </c>
      <c r="M79" s="73">
        <f>827+5563+28919</f>
        <v>35309</v>
      </c>
      <c r="N79" s="73">
        <f>644+5887+32470</f>
        <v>39001</v>
      </c>
      <c r="O79" s="73">
        <f>754+5761+27793</f>
        <v>34308</v>
      </c>
      <c r="P79" s="73">
        <f>656+5681+25687</f>
        <v>32024</v>
      </c>
      <c r="Q79" s="76">
        <f t="shared" si="40"/>
        <v>139074.96999999997</v>
      </c>
      <c r="R79" s="76">
        <f>SUM(J79:P79)</f>
        <v>227143</v>
      </c>
    </row>
    <row r="80" spans="2:19" ht="15" x14ac:dyDescent="0.2">
      <c r="B80" s="389" t="s">
        <v>54</v>
      </c>
      <c r="C80" s="389"/>
      <c r="D80" s="9">
        <f>SUM(D78:D79)</f>
        <v>34650</v>
      </c>
      <c r="E80" s="9">
        <f t="shared" ref="E80:G80" si="51">SUM(E78:E79)</f>
        <v>31876</v>
      </c>
      <c r="F80" s="9">
        <f t="shared" si="51"/>
        <v>32761</v>
      </c>
      <c r="G80" s="9">
        <f t="shared" si="51"/>
        <v>30377</v>
      </c>
      <c r="H80" s="9">
        <f t="shared" ref="H80" si="52">SUM(H78:H79)</f>
        <v>28186.969999999972</v>
      </c>
      <c r="I80" s="134" t="s">
        <v>36</v>
      </c>
      <c r="J80" s="9">
        <f t="shared" ref="J80:P80" si="53">SUM(J78:J79)</f>
        <v>26520</v>
      </c>
      <c r="K80" s="9">
        <f t="shared" si="53"/>
        <v>27869</v>
      </c>
      <c r="L80" s="9">
        <f t="shared" si="53"/>
        <v>34393</v>
      </c>
      <c r="M80" s="9">
        <f t="shared" si="53"/>
        <v>36049</v>
      </c>
      <c r="N80" s="9">
        <f t="shared" si="53"/>
        <v>39758</v>
      </c>
      <c r="O80" s="9">
        <f t="shared" si="53"/>
        <v>34999</v>
      </c>
      <c r="P80" s="9">
        <f t="shared" si="53"/>
        <v>32782</v>
      </c>
      <c r="Q80" s="9">
        <f>Q78+Q79</f>
        <v>157850.96999999997</v>
      </c>
      <c r="R80" s="77">
        <f t="shared" ref="R80" si="54">SUM(R78:R79)</f>
        <v>232370</v>
      </c>
    </row>
    <row r="81" spans="2:19" x14ac:dyDescent="0.2">
      <c r="B81" s="391" t="s">
        <v>68</v>
      </c>
      <c r="C81" s="8" t="s">
        <v>64</v>
      </c>
      <c r="D81" s="73">
        <v>8587</v>
      </c>
      <c r="E81" s="73">
        <v>5557</v>
      </c>
      <c r="F81" s="73">
        <v>5971</v>
      </c>
      <c r="G81" s="73">
        <v>5731</v>
      </c>
      <c r="H81" s="73">
        <v>7949.13</v>
      </c>
      <c r="I81" s="8" t="s">
        <v>41</v>
      </c>
      <c r="J81" s="73">
        <f>518+824</f>
        <v>1342</v>
      </c>
      <c r="K81" s="73">
        <f>487+717</f>
        <v>1204</v>
      </c>
      <c r="L81" s="73">
        <f>423+683</f>
        <v>1106</v>
      </c>
      <c r="M81" s="73">
        <f>448+652</f>
        <v>1100</v>
      </c>
      <c r="N81" s="73">
        <f>437+569</f>
        <v>1006</v>
      </c>
      <c r="O81" s="73">
        <f>446+644</f>
        <v>1090</v>
      </c>
      <c r="P81" s="73">
        <f>527+812</f>
        <v>1339</v>
      </c>
      <c r="Q81" s="76">
        <f t="shared" si="40"/>
        <v>33795.129999999997</v>
      </c>
      <c r="R81" s="76">
        <f>SUM(J81:P81)</f>
        <v>8187</v>
      </c>
    </row>
    <row r="82" spans="2:19" x14ac:dyDescent="0.2">
      <c r="B82" s="391"/>
      <c r="C82" s="8" t="s">
        <v>65</v>
      </c>
      <c r="D82" s="73">
        <f>1711+3888+3518+9680+12811+17056+644223</f>
        <v>692887</v>
      </c>
      <c r="E82" s="73">
        <f>1633+5801+5410+8009+12267+18546+660670</f>
        <v>712336</v>
      </c>
      <c r="F82" s="73">
        <f>1430+5434+3611+8402+10107+20307+620305</f>
        <v>669596</v>
      </c>
      <c r="G82" s="73">
        <f>4269+3431+4618+7804+12749+17220+604806</f>
        <v>654897</v>
      </c>
      <c r="H82" s="73">
        <v>580243.32999999996</v>
      </c>
      <c r="I82" s="136" t="s">
        <v>66</v>
      </c>
      <c r="J82" s="73">
        <f>1140+14618+501372</f>
        <v>517130</v>
      </c>
      <c r="K82" s="73">
        <f>982+16936+543232</f>
        <v>561150</v>
      </c>
      <c r="L82" s="73">
        <f>862+15383+606191</f>
        <v>622436</v>
      </c>
      <c r="M82" s="73">
        <f>832+12921+607023</f>
        <v>620776</v>
      </c>
      <c r="N82" s="73">
        <f>805+13230+628681</f>
        <v>642716</v>
      </c>
      <c r="O82" s="73">
        <f>735+16173+655795</f>
        <v>672703</v>
      </c>
      <c r="P82" s="73">
        <f>957+14000+555099</f>
        <v>570056</v>
      </c>
      <c r="Q82" s="76">
        <f t="shared" si="40"/>
        <v>3309959.33</v>
      </c>
      <c r="R82" s="76">
        <f>SUM(J82:P82)</f>
        <v>4206967</v>
      </c>
    </row>
    <row r="83" spans="2:19" ht="15" x14ac:dyDescent="0.2">
      <c r="B83" s="389" t="s">
        <v>54</v>
      </c>
      <c r="C83" s="389"/>
      <c r="D83" s="9">
        <f>SUM(D81:D82)</f>
        <v>701474</v>
      </c>
      <c r="E83" s="9">
        <f t="shared" ref="E83:G83" si="55">SUM(E81:E82)</f>
        <v>717893</v>
      </c>
      <c r="F83" s="9">
        <f t="shared" si="55"/>
        <v>675567</v>
      </c>
      <c r="G83" s="9">
        <f t="shared" si="55"/>
        <v>660628</v>
      </c>
      <c r="H83" s="9">
        <f t="shared" ref="H83" si="56">SUM(H81:H82)</f>
        <v>588192.46</v>
      </c>
      <c r="I83" s="135"/>
      <c r="J83" s="9">
        <f t="shared" ref="J83:P83" si="57">SUM(J81:J82)</f>
        <v>518472</v>
      </c>
      <c r="K83" s="9">
        <f t="shared" si="57"/>
        <v>562354</v>
      </c>
      <c r="L83" s="9">
        <f t="shared" si="57"/>
        <v>623542</v>
      </c>
      <c r="M83" s="9">
        <f t="shared" si="57"/>
        <v>621876</v>
      </c>
      <c r="N83" s="9">
        <f t="shared" si="57"/>
        <v>643722</v>
      </c>
      <c r="O83" s="9">
        <f t="shared" si="57"/>
        <v>673793</v>
      </c>
      <c r="P83" s="9">
        <f t="shared" si="57"/>
        <v>571395</v>
      </c>
      <c r="Q83" s="9">
        <f>Q81+Q82</f>
        <v>3343754.46</v>
      </c>
      <c r="R83" s="77">
        <f t="shared" ref="R83" si="58">SUM(R81:R82)</f>
        <v>4215154</v>
      </c>
    </row>
    <row r="84" spans="2:19" ht="15" x14ac:dyDescent="0.2">
      <c r="B84" s="398" t="s">
        <v>69</v>
      </c>
      <c r="C84" s="398"/>
      <c r="D84" s="10">
        <f>(D65+D74+D77+D80+D83)</f>
        <v>12518745</v>
      </c>
      <c r="E84" s="55">
        <f t="shared" ref="E84:G84" si="59">(E65+E74+E77+E80+E83)</f>
        <v>12779128</v>
      </c>
      <c r="F84" s="55">
        <f t="shared" si="59"/>
        <v>12997817</v>
      </c>
      <c r="G84" s="55">
        <f t="shared" si="59"/>
        <v>13190792</v>
      </c>
      <c r="H84" s="55">
        <f t="shared" ref="H84" si="60">(H65+H74+H77+H80+H83)</f>
        <v>12721508.32</v>
      </c>
      <c r="J84" s="55">
        <f t="shared" ref="J84:P84" si="61">(J65+J74+J77+J80+J83)</f>
        <v>10517765</v>
      </c>
      <c r="K84" s="55">
        <f t="shared" si="61"/>
        <v>10918870</v>
      </c>
      <c r="L84" s="55">
        <f t="shared" si="61"/>
        <v>11319944</v>
      </c>
      <c r="M84" s="55">
        <f t="shared" si="61"/>
        <v>11520198</v>
      </c>
      <c r="N84" s="55">
        <f t="shared" si="61"/>
        <v>11808919</v>
      </c>
      <c r="O84" s="55">
        <f t="shared" si="61"/>
        <v>10996002</v>
      </c>
      <c r="P84" s="10">
        <f t="shared" si="61"/>
        <v>11207564</v>
      </c>
      <c r="Q84" s="153" t="s">
        <v>32</v>
      </c>
      <c r="R84" s="10">
        <f>Q65+Q74+Q77+Q80+Q83+R83+R80+R77+R74+R65</f>
        <v>142497252.31999999</v>
      </c>
    </row>
    <row r="85" spans="2:19" x14ac:dyDescent="0.2">
      <c r="C85" s="87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7"/>
    </row>
    <row r="86" spans="2:19" customFormat="1" ht="15" x14ac:dyDescent="0.25">
      <c r="B86" s="381" t="s">
        <v>73</v>
      </c>
      <c r="C86" s="381"/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381"/>
    </row>
    <row r="87" spans="2:19" customFormat="1" ht="15" x14ac:dyDescent="0.25">
      <c r="B87" s="6" t="s">
        <v>35</v>
      </c>
      <c r="C87" s="6" t="s">
        <v>36</v>
      </c>
      <c r="D87" s="7">
        <f>+D56</f>
        <v>43831</v>
      </c>
      <c r="E87" s="7">
        <f>+E56</f>
        <v>43862</v>
      </c>
      <c r="F87" s="7">
        <f>+F56</f>
        <v>43893</v>
      </c>
      <c r="G87" s="7">
        <f>+G56</f>
        <v>43924</v>
      </c>
      <c r="H87" s="7">
        <f>+H56</f>
        <v>43955</v>
      </c>
      <c r="I87" s="6" t="s">
        <v>36</v>
      </c>
      <c r="J87" s="7">
        <f t="shared" ref="J87:P87" si="62">+J56</f>
        <v>43986</v>
      </c>
      <c r="K87" s="7">
        <f t="shared" si="62"/>
        <v>44017</v>
      </c>
      <c r="L87" s="7">
        <f t="shared" si="62"/>
        <v>44048</v>
      </c>
      <c r="M87" s="7">
        <f t="shared" si="62"/>
        <v>44079</v>
      </c>
      <c r="N87" s="7">
        <f t="shared" si="62"/>
        <v>44110</v>
      </c>
      <c r="O87" s="7">
        <f t="shared" si="62"/>
        <v>44141</v>
      </c>
      <c r="P87" s="7">
        <f t="shared" si="62"/>
        <v>44172</v>
      </c>
      <c r="Q87" s="75" t="s">
        <v>37</v>
      </c>
      <c r="R87" s="75" t="s">
        <v>38</v>
      </c>
    </row>
    <row r="88" spans="2:19" customFormat="1" ht="15" x14ac:dyDescent="0.25">
      <c r="B88" s="390" t="s">
        <v>39</v>
      </c>
      <c r="C88" s="8" t="s">
        <v>40</v>
      </c>
      <c r="D88" s="56">
        <f t="shared" ref="D88:D95" si="63">+D23+D57</f>
        <v>10785823</v>
      </c>
      <c r="E88" s="56">
        <f t="shared" ref="E88:G95" si="64">+E57+E23</f>
        <v>11123282</v>
      </c>
      <c r="F88" s="56">
        <f t="shared" si="64"/>
        <v>10590238</v>
      </c>
      <c r="G88" s="56">
        <f t="shared" si="64"/>
        <v>9493674</v>
      </c>
      <c r="H88" s="56">
        <f t="shared" ref="H88" si="65">+H57+H23</f>
        <v>10433009.65</v>
      </c>
      <c r="I88" s="8" t="s">
        <v>41</v>
      </c>
      <c r="J88" s="56">
        <f t="shared" ref="J88:P95" si="66">+J57+J23</f>
        <v>2672112</v>
      </c>
      <c r="K88" s="56">
        <f t="shared" si="66"/>
        <v>2610841</v>
      </c>
      <c r="L88" s="56">
        <f t="shared" si="66"/>
        <v>2542388</v>
      </c>
      <c r="M88" s="56">
        <f t="shared" si="66"/>
        <v>2525470</v>
      </c>
      <c r="N88" s="56">
        <f t="shared" si="66"/>
        <v>2474537</v>
      </c>
      <c r="O88" s="56">
        <f t="shared" si="66"/>
        <v>2877645</v>
      </c>
      <c r="P88" s="56">
        <f t="shared" si="66"/>
        <v>2751591</v>
      </c>
      <c r="Q88" s="76">
        <f t="shared" ref="Q88:Q95" si="67">SUM(D88:H88)</f>
        <v>52426026.649999999</v>
      </c>
      <c r="R88" s="76">
        <f t="shared" ref="R88:R93" si="68">SUM(J88:P88)</f>
        <v>18454584</v>
      </c>
    </row>
    <row r="89" spans="2:19" customFormat="1" ht="15" x14ac:dyDescent="0.25">
      <c r="B89" s="390"/>
      <c r="C89" s="8" t="s">
        <v>42</v>
      </c>
      <c r="D89" s="56">
        <f t="shared" si="63"/>
        <v>5847413</v>
      </c>
      <c r="E89" s="56">
        <f t="shared" si="64"/>
        <v>5821442</v>
      </c>
      <c r="F89" s="56">
        <f t="shared" si="64"/>
        <v>5980952</v>
      </c>
      <c r="G89" s="56">
        <f t="shared" si="64"/>
        <v>6501901</v>
      </c>
      <c r="H89" s="56">
        <f t="shared" ref="H89" si="69">+H58+H24</f>
        <v>6114416.3399999999</v>
      </c>
      <c r="I89" s="8" t="s">
        <v>43</v>
      </c>
      <c r="J89" s="56">
        <f t="shared" si="66"/>
        <v>7636415</v>
      </c>
      <c r="K89" s="56">
        <f t="shared" si="66"/>
        <v>7650141</v>
      </c>
      <c r="L89" s="56">
        <f t="shared" si="66"/>
        <v>7607891</v>
      </c>
      <c r="M89" s="56">
        <f t="shared" si="66"/>
        <v>7581491</v>
      </c>
      <c r="N89" s="56">
        <f t="shared" si="66"/>
        <v>7585009</v>
      </c>
      <c r="O89" s="56">
        <f t="shared" si="66"/>
        <v>7596859</v>
      </c>
      <c r="P89" s="56">
        <f t="shared" si="66"/>
        <v>7676604</v>
      </c>
      <c r="Q89" s="76">
        <f t="shared" si="67"/>
        <v>30266124.34</v>
      </c>
      <c r="R89" s="76">
        <f t="shared" si="68"/>
        <v>53334410</v>
      </c>
    </row>
    <row r="90" spans="2:19" customFormat="1" ht="15" x14ac:dyDescent="0.25">
      <c r="B90" s="390"/>
      <c r="C90" s="8" t="s">
        <v>44</v>
      </c>
      <c r="D90" s="56">
        <f t="shared" si="63"/>
        <v>4766948</v>
      </c>
      <c r="E90" s="56">
        <f t="shared" si="64"/>
        <v>4580199</v>
      </c>
      <c r="F90" s="56">
        <f t="shared" si="64"/>
        <v>5200108</v>
      </c>
      <c r="G90" s="56">
        <f t="shared" si="64"/>
        <v>6333841</v>
      </c>
      <c r="H90" s="56">
        <f t="shared" ref="H90" si="70">+H59+H25</f>
        <v>5491304.7000000002</v>
      </c>
      <c r="I90" s="8" t="s">
        <v>45</v>
      </c>
      <c r="J90" s="56">
        <f t="shared" si="66"/>
        <v>5408579</v>
      </c>
      <c r="K90" s="56">
        <f t="shared" si="66"/>
        <v>5638983</v>
      </c>
      <c r="L90" s="56">
        <f t="shared" si="66"/>
        <v>5846430</v>
      </c>
      <c r="M90" s="56">
        <f t="shared" si="66"/>
        <v>5982618</v>
      </c>
      <c r="N90" s="56">
        <f t="shared" si="66"/>
        <v>6390985</v>
      </c>
      <c r="O90" s="56">
        <f t="shared" si="66"/>
        <v>5517301</v>
      </c>
      <c r="P90" s="56">
        <f t="shared" si="66"/>
        <v>5688673</v>
      </c>
      <c r="Q90" s="76">
        <f t="shared" si="67"/>
        <v>26372400.699999999</v>
      </c>
      <c r="R90" s="76">
        <f t="shared" si="68"/>
        <v>40473569</v>
      </c>
    </row>
    <row r="91" spans="2:19" customFormat="1" ht="15" x14ac:dyDescent="0.25">
      <c r="B91" s="390"/>
      <c r="C91" s="8" t="s">
        <v>46</v>
      </c>
      <c r="D91" s="56">
        <f t="shared" si="63"/>
        <v>1099728</v>
      </c>
      <c r="E91" s="56">
        <f t="shared" si="64"/>
        <v>948127</v>
      </c>
      <c r="F91" s="56">
        <f t="shared" si="64"/>
        <v>1133299</v>
      </c>
      <c r="G91" s="56">
        <f t="shared" si="64"/>
        <v>1512960</v>
      </c>
      <c r="H91" s="56">
        <f t="shared" ref="H91" si="71">+H60+H26</f>
        <v>1237954.8</v>
      </c>
      <c r="I91" s="8" t="s">
        <v>47</v>
      </c>
      <c r="J91" s="56">
        <f t="shared" si="66"/>
        <v>2448903</v>
      </c>
      <c r="K91" s="56">
        <f t="shared" si="66"/>
        <v>2740737</v>
      </c>
      <c r="L91" s="56">
        <f t="shared" si="66"/>
        <v>2980117</v>
      </c>
      <c r="M91" s="56">
        <f t="shared" si="66"/>
        <v>3117141</v>
      </c>
      <c r="N91" s="56">
        <f t="shared" si="66"/>
        <v>3245248</v>
      </c>
      <c r="O91" s="56">
        <f t="shared" si="66"/>
        <v>2525052</v>
      </c>
      <c r="P91" s="56">
        <f t="shared" si="66"/>
        <v>2747416</v>
      </c>
      <c r="Q91" s="76">
        <f t="shared" si="67"/>
        <v>5932068.7999999998</v>
      </c>
      <c r="R91" s="76">
        <f t="shared" si="68"/>
        <v>19804614</v>
      </c>
      <c r="S91" s="176"/>
    </row>
    <row r="92" spans="2:19" customFormat="1" ht="15" x14ac:dyDescent="0.25">
      <c r="B92" s="390"/>
      <c r="C92" s="8" t="s">
        <v>48</v>
      </c>
      <c r="D92" s="56">
        <f t="shared" si="63"/>
        <v>490402</v>
      </c>
      <c r="E92" s="56">
        <f t="shared" si="64"/>
        <v>408236</v>
      </c>
      <c r="F92" s="56">
        <f t="shared" si="64"/>
        <v>481182</v>
      </c>
      <c r="G92" s="56">
        <f t="shared" si="64"/>
        <v>571994</v>
      </c>
      <c r="H92" s="56">
        <f t="shared" ref="H92" si="72">+H61+H27</f>
        <v>528794</v>
      </c>
      <c r="I92" s="125" t="s">
        <v>49</v>
      </c>
      <c r="J92" s="56">
        <f t="shared" si="66"/>
        <v>915966</v>
      </c>
      <c r="K92" s="56">
        <f t="shared" si="66"/>
        <v>1025886</v>
      </c>
      <c r="L92" s="56">
        <f t="shared" si="66"/>
        <v>1121777</v>
      </c>
      <c r="M92" s="56">
        <f t="shared" si="66"/>
        <v>1184653</v>
      </c>
      <c r="N92" s="56">
        <f t="shared" si="66"/>
        <v>1217752</v>
      </c>
      <c r="O92" s="56">
        <f t="shared" si="66"/>
        <v>809585</v>
      </c>
      <c r="P92" s="56">
        <f t="shared" si="66"/>
        <v>940412</v>
      </c>
      <c r="Q92" s="76">
        <f t="shared" si="67"/>
        <v>2480608</v>
      </c>
      <c r="R92" s="76">
        <f t="shared" si="68"/>
        <v>7216031</v>
      </c>
      <c r="S92" s="176"/>
    </row>
    <row r="93" spans="2:19" customFormat="1" ht="15" x14ac:dyDescent="0.25">
      <c r="B93" s="390"/>
      <c r="C93" s="8" t="s">
        <v>50</v>
      </c>
      <c r="D93" s="56">
        <f t="shared" si="63"/>
        <v>195711</v>
      </c>
      <c r="E93" s="56">
        <f t="shared" si="64"/>
        <v>171993</v>
      </c>
      <c r="F93" s="56">
        <f t="shared" si="64"/>
        <v>198472</v>
      </c>
      <c r="G93" s="56">
        <f t="shared" si="64"/>
        <v>231245</v>
      </c>
      <c r="H93" s="56">
        <f t="shared" ref="H93" si="73">+H62+H28</f>
        <v>218810.7</v>
      </c>
      <c r="I93" s="131" t="s">
        <v>51</v>
      </c>
      <c r="J93" s="56">
        <f t="shared" si="66"/>
        <v>791998</v>
      </c>
      <c r="K93" s="56">
        <f t="shared" si="66"/>
        <v>865691</v>
      </c>
      <c r="L93" s="56">
        <f t="shared" si="66"/>
        <v>931294</v>
      </c>
      <c r="M93" s="56">
        <f t="shared" si="66"/>
        <v>1010482</v>
      </c>
      <c r="N93" s="56">
        <f t="shared" si="66"/>
        <v>891131</v>
      </c>
      <c r="O93" s="56">
        <f t="shared" si="66"/>
        <v>592557</v>
      </c>
      <c r="P93" s="56">
        <f t="shared" si="66"/>
        <v>726952</v>
      </c>
      <c r="Q93" s="76">
        <f t="shared" si="67"/>
        <v>1016231.7</v>
      </c>
      <c r="R93" s="76">
        <f t="shared" si="68"/>
        <v>5810105</v>
      </c>
      <c r="S93" s="176"/>
    </row>
    <row r="94" spans="2:19" customFormat="1" ht="15" x14ac:dyDescent="0.25">
      <c r="B94" s="390"/>
      <c r="C94" s="8" t="s">
        <v>52</v>
      </c>
      <c r="D94" s="56">
        <f t="shared" si="63"/>
        <v>100692</v>
      </c>
      <c r="E94" s="56">
        <f t="shared" si="64"/>
        <v>91458</v>
      </c>
      <c r="F94" s="56">
        <f t="shared" si="64"/>
        <v>97427</v>
      </c>
      <c r="G94" s="56">
        <f t="shared" si="64"/>
        <v>113434</v>
      </c>
      <c r="H94" s="56">
        <f t="shared" ref="H94" si="74">+H63+H29</f>
        <v>110515</v>
      </c>
      <c r="I94" s="127"/>
      <c r="J94" s="56">
        <f t="shared" si="66"/>
        <v>0</v>
      </c>
      <c r="K94" s="56">
        <f t="shared" si="66"/>
        <v>0</v>
      </c>
      <c r="L94" s="56">
        <f t="shared" si="66"/>
        <v>0</v>
      </c>
      <c r="M94" s="56">
        <f t="shared" si="66"/>
        <v>0</v>
      </c>
      <c r="N94" s="56">
        <f t="shared" si="66"/>
        <v>0</v>
      </c>
      <c r="O94" s="56">
        <f t="shared" si="66"/>
        <v>0</v>
      </c>
      <c r="P94" s="56">
        <f t="shared" si="66"/>
        <v>0</v>
      </c>
      <c r="Q94" s="76">
        <f t="shared" si="67"/>
        <v>513526</v>
      </c>
      <c r="R94" s="132"/>
      <c r="S94" s="176"/>
    </row>
    <row r="95" spans="2:19" customFormat="1" ht="15" x14ac:dyDescent="0.25">
      <c r="B95" s="390"/>
      <c r="C95" s="8" t="s">
        <v>53</v>
      </c>
      <c r="D95" s="56">
        <f t="shared" si="63"/>
        <v>269853</v>
      </c>
      <c r="E95" s="56">
        <f t="shared" si="64"/>
        <v>241304</v>
      </c>
      <c r="F95" s="56">
        <f t="shared" si="64"/>
        <v>286871</v>
      </c>
      <c r="G95" s="56">
        <f t="shared" si="64"/>
        <v>259294</v>
      </c>
      <c r="H95" s="56">
        <f t="shared" ref="H95" si="75">+H64+H30</f>
        <v>238414.2</v>
      </c>
      <c r="I95" s="127"/>
      <c r="J95" s="56">
        <f t="shared" si="66"/>
        <v>0</v>
      </c>
      <c r="K95" s="56">
        <f t="shared" si="66"/>
        <v>0</v>
      </c>
      <c r="L95" s="56">
        <f t="shared" si="66"/>
        <v>0</v>
      </c>
      <c r="M95" s="56">
        <f t="shared" si="66"/>
        <v>0</v>
      </c>
      <c r="N95" s="56">
        <f t="shared" si="66"/>
        <v>0</v>
      </c>
      <c r="O95" s="56">
        <f t="shared" si="66"/>
        <v>0</v>
      </c>
      <c r="P95" s="56">
        <f t="shared" si="66"/>
        <v>0</v>
      </c>
      <c r="Q95" s="76">
        <f t="shared" si="67"/>
        <v>1295736.2</v>
      </c>
      <c r="R95" s="132"/>
      <c r="S95" s="176"/>
    </row>
    <row r="96" spans="2:19" customFormat="1" ht="15" x14ac:dyDescent="0.25">
      <c r="B96" s="389" t="s">
        <v>54</v>
      </c>
      <c r="C96" s="389"/>
      <c r="D96" s="9">
        <f>SUM(D88:D95)</f>
        <v>23556570</v>
      </c>
      <c r="E96" s="9">
        <f t="shared" ref="E96:G96" si="76">SUM(E88:E95)</f>
        <v>23386041</v>
      </c>
      <c r="F96" s="9">
        <f t="shared" si="76"/>
        <v>23968549</v>
      </c>
      <c r="G96" s="9">
        <f t="shared" si="76"/>
        <v>25018343</v>
      </c>
      <c r="H96" s="9">
        <f t="shared" ref="H96" si="77">SUM(H88:H95)</f>
        <v>24373219.390000001</v>
      </c>
      <c r="I96" s="6" t="s">
        <v>36</v>
      </c>
      <c r="J96" s="9">
        <f t="shared" ref="J96:R96" si="78">SUM(J88:J95)</f>
        <v>19873973</v>
      </c>
      <c r="K96" s="9">
        <f t="shared" si="78"/>
        <v>20532279</v>
      </c>
      <c r="L96" s="9">
        <f t="shared" si="78"/>
        <v>21029897</v>
      </c>
      <c r="M96" s="9">
        <f t="shared" si="78"/>
        <v>21401855</v>
      </c>
      <c r="N96" s="9">
        <f t="shared" si="78"/>
        <v>21804662</v>
      </c>
      <c r="O96" s="9">
        <f t="shared" si="78"/>
        <v>19918999</v>
      </c>
      <c r="P96" s="9">
        <f t="shared" si="78"/>
        <v>20531648</v>
      </c>
      <c r="Q96" s="77">
        <f t="shared" si="78"/>
        <v>120302722.39</v>
      </c>
      <c r="R96" s="77">
        <f t="shared" si="78"/>
        <v>145093313</v>
      </c>
    </row>
    <row r="97" spans="2:18" customFormat="1" ht="15" x14ac:dyDescent="0.25">
      <c r="B97" s="390" t="s">
        <v>55</v>
      </c>
      <c r="C97" s="8" t="s">
        <v>56</v>
      </c>
      <c r="D97" s="56">
        <f t="shared" ref="D97:G104" si="79">+D66+D32</f>
        <v>29380</v>
      </c>
      <c r="E97" s="56">
        <f t="shared" si="79"/>
        <v>29978</v>
      </c>
      <c r="F97" s="56">
        <f t="shared" si="79"/>
        <v>29572</v>
      </c>
      <c r="G97" s="56">
        <f t="shared" si="79"/>
        <v>29606</v>
      </c>
      <c r="H97" s="56">
        <f t="shared" ref="H97" si="80">+H66+H32</f>
        <v>29784</v>
      </c>
      <c r="I97" s="8" t="s">
        <v>41</v>
      </c>
      <c r="J97" s="56">
        <f t="shared" ref="J97:P104" si="81">+J66+J32</f>
        <v>71557</v>
      </c>
      <c r="K97" s="56">
        <f t="shared" si="81"/>
        <v>67820</v>
      </c>
      <c r="L97" s="56">
        <f t="shared" si="81"/>
        <v>64737</v>
      </c>
      <c r="M97" s="56">
        <f t="shared" si="81"/>
        <v>55421</v>
      </c>
      <c r="N97" s="56">
        <f t="shared" si="81"/>
        <v>47828</v>
      </c>
      <c r="O97" s="56">
        <f t="shared" si="81"/>
        <v>60901</v>
      </c>
      <c r="P97" s="56">
        <f t="shared" si="81"/>
        <v>49757</v>
      </c>
      <c r="Q97" s="76">
        <f t="shared" ref="Q97:Q104" si="82">SUM(D97:H97)</f>
        <v>148320</v>
      </c>
      <c r="R97" s="76">
        <f t="shared" ref="R97:R102" si="83">SUM(J97:P97)</f>
        <v>418021</v>
      </c>
    </row>
    <row r="98" spans="2:18" customFormat="1" ht="15" x14ac:dyDescent="0.25">
      <c r="B98" s="390"/>
      <c r="C98" s="8" t="s">
        <v>57</v>
      </c>
      <c r="D98" s="56">
        <f t="shared" si="79"/>
        <v>1240</v>
      </c>
      <c r="E98" s="56">
        <f t="shared" si="79"/>
        <v>1396</v>
      </c>
      <c r="F98" s="56">
        <f t="shared" si="79"/>
        <v>1449</v>
      </c>
      <c r="G98" s="56">
        <f t="shared" si="79"/>
        <v>1593</v>
      </c>
      <c r="H98" s="56">
        <f t="shared" ref="H98" si="84">+H67+H33</f>
        <v>1491.8</v>
      </c>
      <c r="I98" s="8" t="s">
        <v>43</v>
      </c>
      <c r="J98" s="56">
        <f t="shared" si="81"/>
        <v>172517</v>
      </c>
      <c r="K98" s="56">
        <f t="shared" si="81"/>
        <v>172860</v>
      </c>
      <c r="L98" s="56">
        <f t="shared" si="81"/>
        <v>181964</v>
      </c>
      <c r="M98" s="56">
        <f t="shared" si="81"/>
        <v>178337</v>
      </c>
      <c r="N98" s="56">
        <f t="shared" si="81"/>
        <v>144850</v>
      </c>
      <c r="O98" s="56">
        <f t="shared" si="81"/>
        <v>138463</v>
      </c>
      <c r="P98" s="56">
        <f t="shared" si="81"/>
        <v>145820</v>
      </c>
      <c r="Q98" s="76">
        <f t="shared" si="82"/>
        <v>7169.8</v>
      </c>
      <c r="R98" s="76">
        <f t="shared" si="83"/>
        <v>1134811</v>
      </c>
    </row>
    <row r="99" spans="2:18" customFormat="1" ht="15" x14ac:dyDescent="0.25">
      <c r="B99" s="390"/>
      <c r="C99" s="8" t="s">
        <v>58</v>
      </c>
      <c r="D99" s="56">
        <f t="shared" si="79"/>
        <v>1774</v>
      </c>
      <c r="E99" s="56">
        <f t="shared" si="79"/>
        <v>1571</v>
      </c>
      <c r="F99" s="56">
        <f t="shared" si="79"/>
        <v>2019</v>
      </c>
      <c r="G99" s="56">
        <f t="shared" si="79"/>
        <v>1968</v>
      </c>
      <c r="H99" s="56">
        <f t="shared" ref="H99" si="85">+H68+H34</f>
        <v>1774.8</v>
      </c>
      <c r="I99" s="8" t="s">
        <v>45</v>
      </c>
      <c r="J99" s="56">
        <f t="shared" si="81"/>
        <v>112490</v>
      </c>
      <c r="K99" s="56">
        <f t="shared" si="81"/>
        <v>124664</v>
      </c>
      <c r="L99" s="56">
        <f t="shared" si="81"/>
        <v>133630</v>
      </c>
      <c r="M99" s="56">
        <f t="shared" si="81"/>
        <v>138447</v>
      </c>
      <c r="N99" s="56">
        <f t="shared" si="81"/>
        <v>122492</v>
      </c>
      <c r="O99" s="56">
        <f t="shared" si="81"/>
        <v>102197</v>
      </c>
      <c r="P99" s="56">
        <f t="shared" si="81"/>
        <v>114973</v>
      </c>
      <c r="Q99" s="76">
        <f t="shared" si="82"/>
        <v>9106.7999999999993</v>
      </c>
      <c r="R99" s="76">
        <f t="shared" si="83"/>
        <v>848893</v>
      </c>
    </row>
    <row r="100" spans="2:18" customFormat="1" ht="15" x14ac:dyDescent="0.25">
      <c r="B100" s="390"/>
      <c r="C100" s="8" t="s">
        <v>59</v>
      </c>
      <c r="D100" s="56">
        <f t="shared" si="79"/>
        <v>120</v>
      </c>
      <c r="E100" s="56">
        <f t="shared" si="79"/>
        <v>54</v>
      </c>
      <c r="F100" s="56">
        <f t="shared" si="79"/>
        <v>210</v>
      </c>
      <c r="G100" s="56">
        <f t="shared" si="79"/>
        <v>165</v>
      </c>
      <c r="H100" s="56">
        <f t="shared" ref="H100" si="86">+H69+H35</f>
        <v>314.39999999999998</v>
      </c>
      <c r="I100" s="8" t="s">
        <v>47</v>
      </c>
      <c r="J100" s="56">
        <f t="shared" si="81"/>
        <v>42201</v>
      </c>
      <c r="K100" s="56">
        <f t="shared" si="81"/>
        <v>50592</v>
      </c>
      <c r="L100" s="56">
        <f t="shared" si="81"/>
        <v>57478</v>
      </c>
      <c r="M100" s="56">
        <f t="shared" si="81"/>
        <v>63794</v>
      </c>
      <c r="N100" s="56">
        <f t="shared" si="81"/>
        <v>64335</v>
      </c>
      <c r="O100" s="56">
        <f t="shared" si="81"/>
        <v>46054</v>
      </c>
      <c r="P100" s="56">
        <f t="shared" si="81"/>
        <v>55483</v>
      </c>
      <c r="Q100" s="76">
        <f t="shared" si="82"/>
        <v>863.4</v>
      </c>
      <c r="R100" s="76">
        <f t="shared" si="83"/>
        <v>379937</v>
      </c>
    </row>
    <row r="101" spans="2:18" customFormat="1" ht="15" x14ac:dyDescent="0.25">
      <c r="B101" s="390"/>
      <c r="C101" s="8" t="s">
        <v>60</v>
      </c>
      <c r="D101" s="56">
        <f t="shared" si="79"/>
        <v>121</v>
      </c>
      <c r="E101" s="56">
        <f t="shared" si="79"/>
        <v>0</v>
      </c>
      <c r="F101" s="56">
        <f t="shared" si="79"/>
        <v>83</v>
      </c>
      <c r="G101" s="56">
        <f t="shared" si="79"/>
        <v>88</v>
      </c>
      <c r="H101" s="56">
        <f t="shared" ref="H101" si="87">+H70+H36</f>
        <v>0</v>
      </c>
      <c r="I101" s="125" t="s">
        <v>49</v>
      </c>
      <c r="J101" s="56">
        <f t="shared" si="81"/>
        <v>10403</v>
      </c>
      <c r="K101" s="56">
        <f t="shared" si="81"/>
        <v>13234</v>
      </c>
      <c r="L101" s="56">
        <f t="shared" si="81"/>
        <v>14587</v>
      </c>
      <c r="M101" s="56">
        <f t="shared" si="81"/>
        <v>15748</v>
      </c>
      <c r="N101" s="56">
        <f t="shared" si="81"/>
        <v>17750</v>
      </c>
      <c r="O101" s="56">
        <f t="shared" si="81"/>
        <v>11811</v>
      </c>
      <c r="P101" s="56">
        <f t="shared" si="81"/>
        <v>14448</v>
      </c>
      <c r="Q101" s="76">
        <f t="shared" si="82"/>
        <v>292</v>
      </c>
      <c r="R101" s="76">
        <f t="shared" si="83"/>
        <v>97981</v>
      </c>
    </row>
    <row r="102" spans="2:18" customFormat="1" ht="15" x14ac:dyDescent="0.25">
      <c r="B102" s="390"/>
      <c r="C102" s="8" t="s">
        <v>61</v>
      </c>
      <c r="D102" s="56">
        <f t="shared" si="79"/>
        <v>0</v>
      </c>
      <c r="E102" s="56">
        <f t="shared" si="79"/>
        <v>0</v>
      </c>
      <c r="F102" s="56">
        <f t="shared" si="79"/>
        <v>68</v>
      </c>
      <c r="G102" s="56">
        <f t="shared" si="79"/>
        <v>56</v>
      </c>
      <c r="H102" s="56">
        <f t="shared" ref="H102" si="88">+H71+H37</f>
        <v>0</v>
      </c>
      <c r="I102" s="131" t="s">
        <v>51</v>
      </c>
      <c r="J102" s="56">
        <f t="shared" si="81"/>
        <v>10372</v>
      </c>
      <c r="K102" s="56">
        <f t="shared" si="81"/>
        <v>9687</v>
      </c>
      <c r="L102" s="56">
        <f t="shared" si="81"/>
        <v>10476</v>
      </c>
      <c r="M102" s="56">
        <f t="shared" si="81"/>
        <v>12354</v>
      </c>
      <c r="N102" s="56">
        <f t="shared" si="81"/>
        <v>10412</v>
      </c>
      <c r="O102" s="56">
        <f t="shared" si="81"/>
        <v>12004</v>
      </c>
      <c r="P102" s="56">
        <f t="shared" si="81"/>
        <v>11966</v>
      </c>
      <c r="Q102" s="76">
        <f t="shared" si="82"/>
        <v>124</v>
      </c>
      <c r="R102" s="76">
        <f t="shared" si="83"/>
        <v>77271</v>
      </c>
    </row>
    <row r="103" spans="2:18" customFormat="1" ht="15" x14ac:dyDescent="0.25">
      <c r="B103" s="390"/>
      <c r="C103" s="8" t="s">
        <v>62</v>
      </c>
      <c r="D103" s="56">
        <f t="shared" si="79"/>
        <v>0</v>
      </c>
      <c r="E103" s="56">
        <f t="shared" si="79"/>
        <v>0</v>
      </c>
      <c r="F103" s="56">
        <f t="shared" si="79"/>
        <v>100</v>
      </c>
      <c r="G103" s="56">
        <f t="shared" si="79"/>
        <v>0</v>
      </c>
      <c r="H103" s="56">
        <f t="shared" ref="H103" si="89">+H72+H38</f>
        <v>0</v>
      </c>
      <c r="I103" s="1"/>
      <c r="J103" s="56">
        <f t="shared" si="81"/>
        <v>0</v>
      </c>
      <c r="K103" s="56">
        <f t="shared" si="81"/>
        <v>0</v>
      </c>
      <c r="L103" s="56">
        <f t="shared" si="81"/>
        <v>0</v>
      </c>
      <c r="M103" s="56">
        <f t="shared" si="81"/>
        <v>0</v>
      </c>
      <c r="N103" s="56">
        <f t="shared" si="81"/>
        <v>0</v>
      </c>
      <c r="O103" s="56">
        <f t="shared" si="81"/>
        <v>0</v>
      </c>
      <c r="P103" s="56">
        <f t="shared" si="81"/>
        <v>0</v>
      </c>
      <c r="Q103" s="76">
        <f t="shared" si="82"/>
        <v>100</v>
      </c>
      <c r="R103" s="132"/>
    </row>
    <row r="104" spans="2:18" customFormat="1" ht="15" x14ac:dyDescent="0.25">
      <c r="B104" s="390"/>
      <c r="C104" s="8" t="s">
        <v>53</v>
      </c>
      <c r="D104" s="56">
        <f t="shared" si="79"/>
        <v>701</v>
      </c>
      <c r="E104" s="56">
        <f t="shared" si="79"/>
        <v>0</v>
      </c>
      <c r="F104" s="56">
        <f t="shared" si="79"/>
        <v>0</v>
      </c>
      <c r="G104" s="56">
        <f t="shared" si="79"/>
        <v>0</v>
      </c>
      <c r="H104" s="56">
        <f t="shared" ref="H104" si="90">+H73+H39</f>
        <v>0</v>
      </c>
      <c r="I104" s="1"/>
      <c r="J104" s="56">
        <f t="shared" si="81"/>
        <v>0</v>
      </c>
      <c r="K104" s="56">
        <f t="shared" si="81"/>
        <v>0</v>
      </c>
      <c r="L104" s="56">
        <f t="shared" si="81"/>
        <v>0</v>
      </c>
      <c r="M104" s="56">
        <f t="shared" si="81"/>
        <v>0</v>
      </c>
      <c r="N104" s="56">
        <f t="shared" si="81"/>
        <v>0</v>
      </c>
      <c r="O104" s="56">
        <f t="shared" si="81"/>
        <v>0</v>
      </c>
      <c r="P104" s="56">
        <f t="shared" si="81"/>
        <v>0</v>
      </c>
      <c r="Q104" s="76">
        <f t="shared" si="82"/>
        <v>701</v>
      </c>
      <c r="R104" s="132"/>
    </row>
    <row r="105" spans="2:18" customFormat="1" ht="15" x14ac:dyDescent="0.25">
      <c r="B105" s="389" t="s">
        <v>54</v>
      </c>
      <c r="C105" s="389"/>
      <c r="D105" s="9">
        <f>SUM(D97:D104)</f>
        <v>33336</v>
      </c>
      <c r="E105" s="9">
        <f t="shared" ref="E105:G105" si="91">SUM(E97:E104)</f>
        <v>32999</v>
      </c>
      <c r="F105" s="9">
        <f t="shared" si="91"/>
        <v>33501</v>
      </c>
      <c r="G105" s="9">
        <f t="shared" si="91"/>
        <v>33476</v>
      </c>
      <c r="H105" s="9">
        <f t="shared" ref="H105" si="92">SUM(H97:H104)</f>
        <v>33365</v>
      </c>
      <c r="I105" s="133" t="s">
        <v>36</v>
      </c>
      <c r="J105" s="9">
        <f t="shared" ref="J105:R105" si="93">SUM(J97:J104)</f>
        <v>419540</v>
      </c>
      <c r="K105" s="9">
        <f t="shared" si="93"/>
        <v>438857</v>
      </c>
      <c r="L105" s="9">
        <f t="shared" si="93"/>
        <v>462872</v>
      </c>
      <c r="M105" s="9">
        <f t="shared" si="93"/>
        <v>464101</v>
      </c>
      <c r="N105" s="9">
        <f t="shared" si="93"/>
        <v>407667</v>
      </c>
      <c r="O105" s="9">
        <f t="shared" si="93"/>
        <v>371430</v>
      </c>
      <c r="P105" s="9">
        <f t="shared" si="93"/>
        <v>392447</v>
      </c>
      <c r="Q105" s="77">
        <f t="shared" si="93"/>
        <v>166676.99999999997</v>
      </c>
      <c r="R105" s="77">
        <f t="shared" si="93"/>
        <v>2956914</v>
      </c>
    </row>
    <row r="106" spans="2:18" customFormat="1" ht="15" x14ac:dyDescent="0.25">
      <c r="B106" s="399" t="s">
        <v>63</v>
      </c>
      <c r="C106" s="12" t="s">
        <v>64</v>
      </c>
      <c r="D106" s="56">
        <f t="shared" ref="D106:G107" si="94">+D75+D41</f>
        <v>663911</v>
      </c>
      <c r="E106" s="56">
        <f t="shared" si="94"/>
        <v>665251</v>
      </c>
      <c r="F106" s="56">
        <f t="shared" si="94"/>
        <v>667762</v>
      </c>
      <c r="G106" s="56">
        <f t="shared" si="94"/>
        <v>738195</v>
      </c>
      <c r="H106" s="56">
        <f t="shared" ref="H106" si="95">+H75+H41</f>
        <v>754383.17999999993</v>
      </c>
      <c r="I106" s="8" t="s">
        <v>41</v>
      </c>
      <c r="J106" s="56">
        <f t="shared" ref="J106:P107" si="96">+J75+J41</f>
        <v>152325</v>
      </c>
      <c r="K106" s="56">
        <f t="shared" si="96"/>
        <v>156721</v>
      </c>
      <c r="L106" s="56">
        <f t="shared" si="96"/>
        <v>158453</v>
      </c>
      <c r="M106" s="56">
        <f t="shared" si="96"/>
        <v>158993</v>
      </c>
      <c r="N106" s="56">
        <f t="shared" si="96"/>
        <v>158109</v>
      </c>
      <c r="O106" s="56">
        <f t="shared" si="96"/>
        <v>163403</v>
      </c>
      <c r="P106" s="56">
        <f t="shared" si="96"/>
        <v>159117</v>
      </c>
      <c r="Q106" s="76">
        <f>SUM(D106:H106)</f>
        <v>3489502.1799999997</v>
      </c>
      <c r="R106" s="76">
        <f>SUM(J106:P106)</f>
        <v>1107121</v>
      </c>
    </row>
    <row r="107" spans="2:18" customFormat="1" ht="15" x14ac:dyDescent="0.25">
      <c r="B107" s="399"/>
      <c r="C107" s="12" t="s">
        <v>65</v>
      </c>
      <c r="D107" s="56">
        <f t="shared" si="94"/>
        <v>1837725</v>
      </c>
      <c r="E107" s="56">
        <f t="shared" si="94"/>
        <v>1996865</v>
      </c>
      <c r="F107" s="56">
        <f t="shared" si="94"/>
        <v>1975738</v>
      </c>
      <c r="G107" s="56">
        <f t="shared" si="94"/>
        <v>1349510</v>
      </c>
      <c r="H107" s="56">
        <f t="shared" ref="H107" si="97">+H76+H42</f>
        <v>1179403.3199999998</v>
      </c>
      <c r="I107" s="136" t="s">
        <v>66</v>
      </c>
      <c r="J107" s="56">
        <f t="shared" si="96"/>
        <v>1352311</v>
      </c>
      <c r="K107" s="56">
        <f t="shared" si="96"/>
        <v>1474858</v>
      </c>
      <c r="L107" s="56">
        <f t="shared" si="96"/>
        <v>1708005</v>
      </c>
      <c r="M107" s="56">
        <f t="shared" si="96"/>
        <v>1756209</v>
      </c>
      <c r="N107" s="56">
        <f t="shared" si="96"/>
        <v>1856655</v>
      </c>
      <c r="O107" s="56">
        <f t="shared" si="96"/>
        <v>1791990</v>
      </c>
      <c r="P107" s="56">
        <f t="shared" si="96"/>
        <v>1881398</v>
      </c>
      <c r="Q107" s="76">
        <f>SUM(D107:H107)</f>
        <v>8339241.3200000003</v>
      </c>
      <c r="R107" s="76">
        <f>SUM(J107:P107)</f>
        <v>11821426</v>
      </c>
    </row>
    <row r="108" spans="2:18" customFormat="1" ht="15" x14ac:dyDescent="0.25">
      <c r="B108" s="389" t="s">
        <v>54</v>
      </c>
      <c r="C108" s="389"/>
      <c r="D108" s="9">
        <f>SUM(D106:D107)</f>
        <v>2501636</v>
      </c>
      <c r="E108" s="9">
        <f t="shared" ref="E108:G108" si="98">SUM(E106:E107)</f>
        <v>2662116</v>
      </c>
      <c r="F108" s="9">
        <f t="shared" si="98"/>
        <v>2643500</v>
      </c>
      <c r="G108" s="9">
        <f t="shared" si="98"/>
        <v>2087705</v>
      </c>
      <c r="H108" s="9">
        <f t="shared" ref="H108" si="99">SUM(H106:H107)</f>
        <v>1933786.4999999998</v>
      </c>
      <c r="I108" s="134" t="s">
        <v>36</v>
      </c>
      <c r="J108" s="9">
        <f t="shared" ref="J108:P108" si="100">SUM(J106:J107)</f>
        <v>1504636</v>
      </c>
      <c r="K108" s="9">
        <f t="shared" si="100"/>
        <v>1631579</v>
      </c>
      <c r="L108" s="9">
        <f t="shared" si="100"/>
        <v>1866458</v>
      </c>
      <c r="M108" s="9">
        <f t="shared" si="100"/>
        <v>1915202</v>
      </c>
      <c r="N108" s="9">
        <f t="shared" si="100"/>
        <v>2014764</v>
      </c>
      <c r="O108" s="9">
        <f t="shared" si="100"/>
        <v>1955393</v>
      </c>
      <c r="P108" s="9">
        <f t="shared" si="100"/>
        <v>2040515</v>
      </c>
      <c r="Q108" s="9">
        <f>Q106+Q107</f>
        <v>11828743.5</v>
      </c>
      <c r="R108" s="77">
        <f>SUM(R106:R107)</f>
        <v>12928547</v>
      </c>
    </row>
    <row r="109" spans="2:18" customFormat="1" ht="15" x14ac:dyDescent="0.25">
      <c r="B109" s="399" t="s">
        <v>67</v>
      </c>
      <c r="C109" s="12" t="s">
        <v>64</v>
      </c>
      <c r="D109" s="56">
        <f t="shared" ref="D109:G110" si="101">+D78+D44</f>
        <v>9133</v>
      </c>
      <c r="E109" s="56">
        <f t="shared" si="101"/>
        <v>7651</v>
      </c>
      <c r="F109" s="56">
        <f t="shared" si="101"/>
        <v>7476</v>
      </c>
      <c r="G109" s="56">
        <f t="shared" si="101"/>
        <v>8446</v>
      </c>
      <c r="H109" s="56">
        <f t="shared" ref="H109" si="102">+H78+H44</f>
        <v>8370</v>
      </c>
      <c r="I109" s="8" t="s">
        <v>41</v>
      </c>
      <c r="J109" s="56">
        <f t="shared" ref="J109:P110" si="103">+J78+J44</f>
        <v>1744</v>
      </c>
      <c r="K109" s="56">
        <f t="shared" si="103"/>
        <v>1759</v>
      </c>
      <c r="L109" s="56">
        <f t="shared" si="103"/>
        <v>1599</v>
      </c>
      <c r="M109" s="56">
        <f t="shared" si="103"/>
        <v>1675</v>
      </c>
      <c r="N109" s="56">
        <f t="shared" si="103"/>
        <v>1690</v>
      </c>
      <c r="O109" s="56">
        <f t="shared" si="103"/>
        <v>1552</v>
      </c>
      <c r="P109" s="56">
        <f t="shared" si="103"/>
        <v>1672</v>
      </c>
      <c r="Q109" s="76">
        <f>SUM(D109:H109)</f>
        <v>41076</v>
      </c>
      <c r="R109" s="76">
        <f>SUM(J109:P109)</f>
        <v>11691</v>
      </c>
    </row>
    <row r="110" spans="2:18" customFormat="1" ht="15" x14ac:dyDescent="0.25">
      <c r="B110" s="399"/>
      <c r="C110" s="12" t="s">
        <v>65</v>
      </c>
      <c r="D110" s="56">
        <f t="shared" si="101"/>
        <v>74604</v>
      </c>
      <c r="E110" s="56">
        <f t="shared" si="101"/>
        <v>64951</v>
      </c>
      <c r="F110" s="56">
        <f t="shared" si="101"/>
        <v>66361</v>
      </c>
      <c r="G110" s="56">
        <f t="shared" si="101"/>
        <v>59532</v>
      </c>
      <c r="H110" s="56">
        <f t="shared" ref="H110" si="104">+H79+H45</f>
        <v>56038.969999999972</v>
      </c>
      <c r="I110" s="136" t="s">
        <v>66</v>
      </c>
      <c r="J110" s="56">
        <f t="shared" si="103"/>
        <v>59215</v>
      </c>
      <c r="K110" s="56">
        <f t="shared" si="103"/>
        <v>62548</v>
      </c>
      <c r="L110" s="56">
        <f t="shared" si="103"/>
        <v>76522</v>
      </c>
      <c r="M110" s="56">
        <f t="shared" si="103"/>
        <v>79075</v>
      </c>
      <c r="N110" s="56">
        <f t="shared" si="103"/>
        <v>90802</v>
      </c>
      <c r="O110" s="56">
        <f t="shared" si="103"/>
        <v>76136</v>
      </c>
      <c r="P110" s="56">
        <f t="shared" si="103"/>
        <v>72007</v>
      </c>
      <c r="Q110" s="76">
        <f>SUM(D110:H110)</f>
        <v>321486.96999999997</v>
      </c>
      <c r="R110" s="76">
        <f>SUM(J110:P110)</f>
        <v>516305</v>
      </c>
    </row>
    <row r="111" spans="2:18" customFormat="1" ht="15" x14ac:dyDescent="0.25">
      <c r="B111" s="389" t="s">
        <v>54</v>
      </c>
      <c r="C111" s="389"/>
      <c r="D111" s="9">
        <f>SUM(D109:D110)</f>
        <v>83737</v>
      </c>
      <c r="E111" s="9">
        <f t="shared" ref="E111:G111" si="105">SUM(E109:E110)</f>
        <v>72602</v>
      </c>
      <c r="F111" s="9">
        <f t="shared" si="105"/>
        <v>73837</v>
      </c>
      <c r="G111" s="9">
        <f t="shared" si="105"/>
        <v>67978</v>
      </c>
      <c r="H111" s="9">
        <f t="shared" ref="H111" si="106">SUM(H109:H110)</f>
        <v>64408.969999999972</v>
      </c>
      <c r="I111" s="134" t="s">
        <v>36</v>
      </c>
      <c r="J111" s="9">
        <f t="shared" ref="J111:P111" si="107">SUM(J109:J110)</f>
        <v>60959</v>
      </c>
      <c r="K111" s="9">
        <f t="shared" si="107"/>
        <v>64307</v>
      </c>
      <c r="L111" s="9">
        <f t="shared" si="107"/>
        <v>78121</v>
      </c>
      <c r="M111" s="9">
        <f t="shared" si="107"/>
        <v>80750</v>
      </c>
      <c r="N111" s="9">
        <f t="shared" si="107"/>
        <v>92492</v>
      </c>
      <c r="O111" s="9">
        <f t="shared" si="107"/>
        <v>77688</v>
      </c>
      <c r="P111" s="9">
        <f t="shared" si="107"/>
        <v>73679</v>
      </c>
      <c r="Q111" s="9">
        <f t="shared" ref="Q111" si="108">Q109+Q110</f>
        <v>362562.97</v>
      </c>
      <c r="R111" s="77">
        <f t="shared" ref="R111" si="109">SUM(R109:R110)</f>
        <v>527996</v>
      </c>
    </row>
    <row r="112" spans="2:18" customFormat="1" ht="15" x14ac:dyDescent="0.25">
      <c r="B112" s="399" t="s">
        <v>68</v>
      </c>
      <c r="C112" s="12" t="s">
        <v>64</v>
      </c>
      <c r="D112" s="56">
        <f t="shared" ref="D112:G113" si="110">+D81+D47</f>
        <v>15227</v>
      </c>
      <c r="E112" s="56">
        <f t="shared" si="110"/>
        <v>12257</v>
      </c>
      <c r="F112" s="56">
        <f t="shared" si="110"/>
        <v>13111</v>
      </c>
      <c r="G112" s="56">
        <f t="shared" si="110"/>
        <v>12611</v>
      </c>
      <c r="H112" s="56">
        <f t="shared" ref="H112" si="111">+H81+H47</f>
        <v>17169.13</v>
      </c>
      <c r="I112" s="8" t="s">
        <v>41</v>
      </c>
      <c r="J112" s="56">
        <f t="shared" ref="J112:P113" si="112">+J81+J47</f>
        <v>3000</v>
      </c>
      <c r="K112" s="56">
        <f t="shared" si="112"/>
        <v>2638</v>
      </c>
      <c r="L112" s="56">
        <f t="shared" si="112"/>
        <v>2473</v>
      </c>
      <c r="M112" s="56">
        <f t="shared" si="112"/>
        <v>2494</v>
      </c>
      <c r="N112" s="56">
        <f t="shared" si="112"/>
        <v>2276</v>
      </c>
      <c r="O112" s="56">
        <f t="shared" si="112"/>
        <v>2429</v>
      </c>
      <c r="P112" s="56">
        <f t="shared" si="112"/>
        <v>3007</v>
      </c>
      <c r="Q112" s="76">
        <f>SUM(D112:H112)</f>
        <v>70375.13</v>
      </c>
      <c r="R112" s="76">
        <f>SUM(J112:P112)</f>
        <v>18317</v>
      </c>
    </row>
    <row r="113" spans="2:18" customFormat="1" ht="15" x14ac:dyDescent="0.25">
      <c r="B113" s="399"/>
      <c r="C113" s="12" t="s">
        <v>65</v>
      </c>
      <c r="D113" s="56">
        <f t="shared" si="110"/>
        <v>1408244</v>
      </c>
      <c r="E113" s="56">
        <f t="shared" si="110"/>
        <v>1453191</v>
      </c>
      <c r="F113" s="56">
        <f t="shared" si="110"/>
        <v>1370986</v>
      </c>
      <c r="G113" s="56">
        <f t="shared" si="110"/>
        <v>1347597</v>
      </c>
      <c r="H113" s="56">
        <f t="shared" ref="H113" si="113">+H82+H48</f>
        <v>1193179.33</v>
      </c>
      <c r="I113" s="136" t="s">
        <v>66</v>
      </c>
      <c r="J113" s="56">
        <f t="shared" si="112"/>
        <v>1056891</v>
      </c>
      <c r="K113" s="56">
        <f t="shared" si="112"/>
        <v>1147244</v>
      </c>
      <c r="L113" s="56">
        <f t="shared" si="112"/>
        <v>1270864</v>
      </c>
      <c r="M113" s="56">
        <f t="shared" si="112"/>
        <v>1305420</v>
      </c>
      <c r="N113" s="56">
        <f t="shared" si="112"/>
        <v>1336431</v>
      </c>
      <c r="O113" s="56">
        <f t="shared" si="112"/>
        <v>1381058</v>
      </c>
      <c r="P113" s="56">
        <f t="shared" si="112"/>
        <v>1165897</v>
      </c>
      <c r="Q113" s="76">
        <f>SUM(D113:H113)</f>
        <v>6773197.3300000001</v>
      </c>
      <c r="R113" s="76">
        <f>SUM(J113:P113)</f>
        <v>8663805</v>
      </c>
    </row>
    <row r="114" spans="2:18" customFormat="1" ht="15" x14ac:dyDescent="0.25">
      <c r="B114" s="389" t="s">
        <v>54</v>
      </c>
      <c r="C114" s="389"/>
      <c r="D114" s="9">
        <f>SUM(D112:D113)</f>
        <v>1423471</v>
      </c>
      <c r="E114" s="9">
        <f t="shared" ref="E114:G114" si="114">SUM(E112:E113)</f>
        <v>1465448</v>
      </c>
      <c r="F114" s="9">
        <f t="shared" si="114"/>
        <v>1384097</v>
      </c>
      <c r="G114" s="9">
        <f t="shared" si="114"/>
        <v>1360208</v>
      </c>
      <c r="H114" s="9">
        <f t="shared" ref="H114" si="115">SUM(H112:H113)</f>
        <v>1210348.46</v>
      </c>
      <c r="I114" s="135"/>
      <c r="J114" s="9">
        <f t="shared" ref="J114:P114" si="116">SUM(J112:J113)</f>
        <v>1059891</v>
      </c>
      <c r="K114" s="9">
        <f t="shared" si="116"/>
        <v>1149882</v>
      </c>
      <c r="L114" s="9">
        <f t="shared" si="116"/>
        <v>1273337</v>
      </c>
      <c r="M114" s="9">
        <f t="shared" si="116"/>
        <v>1307914</v>
      </c>
      <c r="N114" s="9">
        <f t="shared" si="116"/>
        <v>1338707</v>
      </c>
      <c r="O114" s="9">
        <f t="shared" si="116"/>
        <v>1383487</v>
      </c>
      <c r="P114" s="9">
        <f t="shared" si="116"/>
        <v>1168904</v>
      </c>
      <c r="Q114" s="9">
        <f t="shared" ref="Q114" si="117">Q112+Q113</f>
        <v>6843572.46</v>
      </c>
      <c r="R114" s="77">
        <f t="shared" ref="R114" si="118">SUM(R112:R113)</f>
        <v>8682122</v>
      </c>
    </row>
    <row r="115" spans="2:18" customFormat="1" ht="15" x14ac:dyDescent="0.25">
      <c r="B115" s="398" t="s">
        <v>69</v>
      </c>
      <c r="C115" s="398"/>
      <c r="D115" s="10">
        <f>D96+D105+D108+D111+D114</f>
        <v>27598750</v>
      </c>
      <c r="E115" s="10">
        <f t="shared" ref="E115:G115" si="119">E96+E105+E108+E111+E114</f>
        <v>27619206</v>
      </c>
      <c r="F115" s="10">
        <f t="shared" si="119"/>
        <v>28103484</v>
      </c>
      <c r="G115" s="10">
        <f t="shared" si="119"/>
        <v>28567710</v>
      </c>
      <c r="H115" s="10">
        <f t="shared" ref="H115" si="120">H96+H105+H108+H111+H114</f>
        <v>27615128.32</v>
      </c>
      <c r="I115" s="1"/>
      <c r="J115" s="10">
        <f t="shared" ref="J115:P115" si="121">J96+J105+J108+J111+J114</f>
        <v>22918999</v>
      </c>
      <c r="K115" s="10">
        <f t="shared" si="121"/>
        <v>23816904</v>
      </c>
      <c r="L115" s="10">
        <f t="shared" si="121"/>
        <v>24710685</v>
      </c>
      <c r="M115" s="10">
        <f t="shared" si="121"/>
        <v>25169822</v>
      </c>
      <c r="N115" s="10">
        <f t="shared" si="121"/>
        <v>25658292</v>
      </c>
      <c r="O115" s="10">
        <f t="shared" si="121"/>
        <v>23706997</v>
      </c>
      <c r="P115" s="10">
        <f t="shared" si="121"/>
        <v>24207193</v>
      </c>
      <c r="Q115" s="153" t="s">
        <v>32</v>
      </c>
      <c r="R115" s="10">
        <f>SUM(D115:P115)</f>
        <v>309693170.31999999</v>
      </c>
    </row>
    <row r="116" spans="2:18" customFormat="1" ht="15" x14ac:dyDescent="0.25">
      <c r="B116" s="398" t="s">
        <v>71</v>
      </c>
      <c r="C116" s="398"/>
      <c r="D116" s="10">
        <f>D84+D52</f>
        <v>27642589</v>
      </c>
      <c r="E116" s="10">
        <f t="shared" ref="E116:G116" si="122">E84+E52</f>
        <v>27669131</v>
      </c>
      <c r="F116" s="10">
        <f t="shared" si="122"/>
        <v>28132660</v>
      </c>
      <c r="G116" s="10">
        <f t="shared" si="122"/>
        <v>28590713</v>
      </c>
      <c r="H116" s="10">
        <f t="shared" ref="H116" si="123">H84+H52</f>
        <v>27643576.32</v>
      </c>
      <c r="I116" s="1"/>
      <c r="J116" s="10">
        <f t="shared" ref="J116:P116" si="124">J84+J52</f>
        <v>22944720</v>
      </c>
      <c r="K116" s="10">
        <f t="shared" si="124"/>
        <v>23850242</v>
      </c>
      <c r="L116" s="10">
        <f t="shared" si="124"/>
        <v>24745690</v>
      </c>
      <c r="M116" s="10">
        <f t="shared" si="124"/>
        <v>25169822</v>
      </c>
      <c r="N116" s="10">
        <f t="shared" si="124"/>
        <v>25732649</v>
      </c>
      <c r="O116" s="10">
        <f t="shared" si="124"/>
        <v>23809473</v>
      </c>
      <c r="P116" s="10">
        <f t="shared" si="124"/>
        <v>24247561</v>
      </c>
      <c r="Q116" s="153" t="s">
        <v>32</v>
      </c>
      <c r="R116" s="10">
        <f>SUM(D116:P116)</f>
        <v>310178826.31999999</v>
      </c>
    </row>
    <row r="117" spans="2:18" x14ac:dyDescent="0.2">
      <c r="Q117" s="11"/>
    </row>
    <row r="118" spans="2:18" x14ac:dyDescent="0.2"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2:18" x14ac:dyDescent="0.2">
      <c r="Q119" s="11"/>
    </row>
  </sheetData>
  <mergeCells count="44">
    <mergeCell ref="B116:C116"/>
    <mergeCell ref="B109:B110"/>
    <mergeCell ref="B111:C111"/>
    <mergeCell ref="B112:B113"/>
    <mergeCell ref="B114:C114"/>
    <mergeCell ref="B115:C115"/>
    <mergeCell ref="B108:C108"/>
    <mergeCell ref="B78:B79"/>
    <mergeCell ref="B80:C80"/>
    <mergeCell ref="B81:B82"/>
    <mergeCell ref="B83:C83"/>
    <mergeCell ref="B84:C84"/>
    <mergeCell ref="B88:B95"/>
    <mergeCell ref="B96:C96"/>
    <mergeCell ref="B97:B104"/>
    <mergeCell ref="B105:C105"/>
    <mergeCell ref="B106:B107"/>
    <mergeCell ref="B86:R86"/>
    <mergeCell ref="B8:P8"/>
    <mergeCell ref="B77:C77"/>
    <mergeCell ref="B65:C65"/>
    <mergeCell ref="B66:B73"/>
    <mergeCell ref="B74:C74"/>
    <mergeCell ref="B75:B76"/>
    <mergeCell ref="B44:B45"/>
    <mergeCell ref="B46:C46"/>
    <mergeCell ref="B47:B48"/>
    <mergeCell ref="B49:C49"/>
    <mergeCell ref="B50:C50"/>
    <mergeCell ref="B55:R55"/>
    <mergeCell ref="B51:C51"/>
    <mergeCell ref="B52:C52"/>
    <mergeCell ref="B57:B64"/>
    <mergeCell ref="B43:C43"/>
    <mergeCell ref="B9:C9"/>
    <mergeCell ref="B10:C10"/>
    <mergeCell ref="B11:C11"/>
    <mergeCell ref="B12:C12"/>
    <mergeCell ref="B23:B30"/>
    <mergeCell ref="B31:C31"/>
    <mergeCell ref="B32:B39"/>
    <mergeCell ref="B40:C40"/>
    <mergeCell ref="B41:B42"/>
    <mergeCell ref="B21:R21"/>
  </mergeCells>
  <pageMargins left="0.511811024" right="0.511811024" top="0.78740157499999996" bottom="0.78740157499999996" header="0.31496062000000002" footer="0.31496062000000002"/>
  <pageSetup paperSize="9" scale="35" orientation="portrait" r:id="rId1"/>
  <ignoredErrors>
    <ignoredError sqref="E96:G96 D105:G105 D108:G108 D111:G111 E40:F41 E43:E44 E46:E47 E49:F49 H93:H111 Q74:R80" formula="1"/>
    <ignoredError sqref="D12" formulaRange="1"/>
    <ignoredError sqref="D42 D45 D48 D74:F82 G76:G83 I41:I49 G41:G49 D10:G11 H10:O11" unlockedFormula="1"/>
    <ignoredError sqref="E48 E45 E42 F48 F45 F46:F47 F42 F43:F44" formula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>
    <tabColor rgb="FF00B050"/>
  </sheetPr>
  <dimension ref="B3:P76"/>
  <sheetViews>
    <sheetView showGridLines="0" topLeftCell="G1" zoomScale="70" zoomScaleNormal="70" workbookViewId="0">
      <selection activeCell="K13" sqref="K13"/>
    </sheetView>
  </sheetViews>
  <sheetFormatPr defaultRowHeight="15" x14ac:dyDescent="0.25"/>
  <cols>
    <col min="2" max="2" width="28.42578125" bestFit="1" customWidth="1"/>
    <col min="3" max="3" width="20.5703125" customWidth="1"/>
    <col min="4" max="4" width="0.85546875" customWidth="1"/>
    <col min="5" max="5" width="27" bestFit="1" customWidth="1"/>
    <col min="6" max="6" width="19.42578125" customWidth="1"/>
    <col min="7" max="7" width="1.140625" customWidth="1"/>
    <col min="8" max="8" width="25.140625" bestFit="1" customWidth="1"/>
    <col min="10" max="10" width="54.85546875" customWidth="1"/>
    <col min="11" max="14" width="23" customWidth="1"/>
    <col min="15" max="15" width="15.140625" bestFit="1" customWidth="1"/>
    <col min="16" max="16" width="12.42578125" bestFit="1" customWidth="1"/>
  </cols>
  <sheetData>
    <row r="3" spans="2:15" ht="18" x14ac:dyDescent="0.25">
      <c r="E3" s="379" t="s">
        <v>74</v>
      </c>
      <c r="F3" s="379"/>
      <c r="G3" s="379"/>
      <c r="H3" s="379"/>
      <c r="I3" s="379"/>
      <c r="J3" s="379"/>
      <c r="K3" s="379"/>
    </row>
    <row r="6" spans="2:15" ht="18.75" customHeight="1" x14ac:dyDescent="0.25">
      <c r="B6" s="400" t="s">
        <v>75</v>
      </c>
      <c r="C6" s="401"/>
      <c r="D6" s="401"/>
      <c r="E6" s="401"/>
      <c r="F6" s="401"/>
      <c r="G6" s="401"/>
      <c r="H6" s="402"/>
      <c r="J6" s="400" t="s">
        <v>76</v>
      </c>
      <c r="K6" s="401"/>
      <c r="L6" s="401"/>
      <c r="M6" s="401"/>
      <c r="N6" s="401"/>
    </row>
    <row r="7" spans="2:15" ht="15.75" x14ac:dyDescent="0.25">
      <c r="B7" s="20" t="s">
        <v>77</v>
      </c>
      <c r="C7" s="20" t="s">
        <v>78</v>
      </c>
      <c r="D7" s="21"/>
      <c r="E7" s="20" t="s">
        <v>79</v>
      </c>
      <c r="F7" s="20" t="s">
        <v>78</v>
      </c>
      <c r="G7" s="21"/>
      <c r="H7" s="20" t="s">
        <v>80</v>
      </c>
      <c r="J7" s="20"/>
      <c r="K7" s="20" t="s">
        <v>39</v>
      </c>
      <c r="L7" s="20" t="s">
        <v>55</v>
      </c>
      <c r="M7" s="20" t="s">
        <v>63</v>
      </c>
      <c r="N7" s="20" t="s">
        <v>67</v>
      </c>
    </row>
    <row r="8" spans="2:15" ht="15.75" x14ac:dyDescent="0.25">
      <c r="B8" s="22">
        <v>43466</v>
      </c>
      <c r="C8" s="65">
        <v>3805344</v>
      </c>
      <c r="D8" s="23"/>
      <c r="E8" s="22">
        <v>43831</v>
      </c>
      <c r="F8" s="65">
        <v>2757209</v>
      </c>
      <c r="G8" s="24"/>
      <c r="H8" s="25">
        <f>IF(C8-F8&lt;=0,"",C8-F8)</f>
        <v>1048135</v>
      </c>
      <c r="J8" s="26" t="s">
        <v>81</v>
      </c>
      <c r="K8" s="93">
        <f>SUM(H8:H19)</f>
        <v>12772156</v>
      </c>
      <c r="L8" s="96">
        <f>SUM(H23:H34)</f>
        <v>156964</v>
      </c>
      <c r="M8" s="96">
        <f>SUM(H38:H49)</f>
        <v>3239398</v>
      </c>
      <c r="N8" s="96">
        <f>SUM(H53:H64)</f>
        <v>144969</v>
      </c>
    </row>
    <row r="9" spans="2:15" ht="15.75" x14ac:dyDescent="0.25">
      <c r="B9" s="22">
        <f>+B8+31</f>
        <v>43497</v>
      </c>
      <c r="C9" s="65">
        <v>5154922</v>
      </c>
      <c r="D9" s="23"/>
      <c r="E9" s="22">
        <f>+E8+31</f>
        <v>43862</v>
      </c>
      <c r="F9" s="65">
        <v>3787502</v>
      </c>
      <c r="G9" s="24"/>
      <c r="H9" s="25">
        <f t="shared" ref="H9:H19" si="0">IF(C9-F9&lt;=0,"",C9-F9)</f>
        <v>1367420</v>
      </c>
      <c r="J9" s="27" t="s">
        <v>82</v>
      </c>
      <c r="K9" s="94">
        <v>0.2</v>
      </c>
      <c r="L9" s="97">
        <v>0.2</v>
      </c>
      <c r="M9" s="97">
        <v>0.2</v>
      </c>
      <c r="N9" s="97">
        <v>0.2</v>
      </c>
    </row>
    <row r="10" spans="2:15" ht="15.75" x14ac:dyDescent="0.25">
      <c r="B10" s="22">
        <f t="shared" ref="B10:B19" si="1">+B9+31</f>
        <v>43528</v>
      </c>
      <c r="C10" s="65">
        <v>3949517</v>
      </c>
      <c r="D10" s="23"/>
      <c r="E10" s="22">
        <f t="shared" ref="E10:E19" si="2">+E9+31</f>
        <v>43893</v>
      </c>
      <c r="F10" s="65">
        <v>2918238</v>
      </c>
      <c r="G10" s="24"/>
      <c r="H10" s="25">
        <f t="shared" si="0"/>
        <v>1031279</v>
      </c>
      <c r="J10" s="27" t="s">
        <v>83</v>
      </c>
      <c r="K10" s="95">
        <f>K8*K9</f>
        <v>2554431.2000000002</v>
      </c>
      <c r="L10" s="98">
        <f>L8*L9</f>
        <v>31392.800000000003</v>
      </c>
      <c r="M10" s="98">
        <f>M8*M9</f>
        <v>647879.60000000009</v>
      </c>
      <c r="N10" s="98">
        <f>N8*N9</f>
        <v>28993.800000000003</v>
      </c>
    </row>
    <row r="11" spans="2:15" ht="15.75" x14ac:dyDescent="0.25">
      <c r="B11" s="22">
        <f t="shared" si="1"/>
        <v>43559</v>
      </c>
      <c r="C11" s="65">
        <v>2622039</v>
      </c>
      <c r="D11" s="23"/>
      <c r="E11" s="22">
        <f t="shared" si="2"/>
        <v>43924</v>
      </c>
      <c r="F11" s="65">
        <v>1840886</v>
      </c>
      <c r="G11" s="24"/>
      <c r="H11" s="25">
        <f t="shared" si="0"/>
        <v>781153</v>
      </c>
      <c r="J11" s="154" t="s">
        <v>84</v>
      </c>
      <c r="K11" s="155">
        <v>2.99</v>
      </c>
      <c r="L11" s="155">
        <v>1.49</v>
      </c>
      <c r="M11" s="155">
        <v>6.14</v>
      </c>
      <c r="N11" s="155">
        <v>6.14</v>
      </c>
    </row>
    <row r="12" spans="2:15" ht="15.75" x14ac:dyDescent="0.25">
      <c r="B12" s="22">
        <f t="shared" si="1"/>
        <v>43590</v>
      </c>
      <c r="C12" s="65">
        <v>3713075</v>
      </c>
      <c r="D12" s="23"/>
      <c r="E12" s="22">
        <f t="shared" si="2"/>
        <v>43955</v>
      </c>
      <c r="F12" s="65">
        <v>2714188</v>
      </c>
      <c r="G12" s="24"/>
      <c r="H12" s="25">
        <f t="shared" si="0"/>
        <v>998887</v>
      </c>
      <c r="J12" s="154" t="s">
        <v>85</v>
      </c>
      <c r="K12" s="336">
        <f>K10*K11</f>
        <v>7637749.2880000006</v>
      </c>
      <c r="L12" s="336">
        <f>L10*L11</f>
        <v>46775.272000000004</v>
      </c>
      <c r="M12" s="336">
        <f>M10*M11</f>
        <v>3977980.7440000004</v>
      </c>
      <c r="N12" s="336">
        <f>N10*N11</f>
        <v>178021.932</v>
      </c>
      <c r="O12" s="29"/>
    </row>
    <row r="13" spans="2:15" ht="15.75" x14ac:dyDescent="0.25">
      <c r="B13" s="22">
        <f t="shared" si="1"/>
        <v>43621</v>
      </c>
      <c r="C13" s="65">
        <v>3554115</v>
      </c>
      <c r="D13" s="23"/>
      <c r="E13" s="22">
        <f t="shared" si="2"/>
        <v>43986</v>
      </c>
      <c r="F13" s="65">
        <v>2569421</v>
      </c>
      <c r="G13" s="24"/>
      <c r="H13" s="25">
        <f t="shared" si="0"/>
        <v>984694</v>
      </c>
      <c r="J13" s="67" t="s">
        <v>86</v>
      </c>
      <c r="K13" s="68">
        <f>SUM(K12:N12)</f>
        <v>11840527.236000001</v>
      </c>
      <c r="L13" s="28"/>
    </row>
    <row r="14" spans="2:15" ht="15.75" x14ac:dyDescent="0.25">
      <c r="B14" s="22">
        <f t="shared" si="1"/>
        <v>43652</v>
      </c>
      <c r="C14" s="65">
        <v>3235752</v>
      </c>
      <c r="D14" s="23"/>
      <c r="E14" s="22">
        <f t="shared" si="2"/>
        <v>44017</v>
      </c>
      <c r="F14" s="65">
        <v>2347031</v>
      </c>
      <c r="G14" s="24"/>
      <c r="H14" s="25">
        <f t="shared" si="0"/>
        <v>888721</v>
      </c>
    </row>
    <row r="15" spans="2:15" ht="15.75" x14ac:dyDescent="0.25">
      <c r="B15" s="22">
        <f t="shared" si="1"/>
        <v>43683</v>
      </c>
      <c r="C15" s="65">
        <v>3572748</v>
      </c>
      <c r="D15" s="23"/>
      <c r="E15" s="22">
        <f t="shared" si="2"/>
        <v>44048</v>
      </c>
      <c r="F15" s="65">
        <v>2585627</v>
      </c>
      <c r="G15" s="24"/>
      <c r="H15" s="25">
        <f t="shared" si="0"/>
        <v>987121</v>
      </c>
    </row>
    <row r="16" spans="2:15" ht="15.75" x14ac:dyDescent="0.25">
      <c r="B16" s="22">
        <f t="shared" si="1"/>
        <v>43714</v>
      </c>
      <c r="C16" s="65">
        <v>4776310</v>
      </c>
      <c r="D16" s="23"/>
      <c r="E16" s="22">
        <f t="shared" si="2"/>
        <v>44079</v>
      </c>
      <c r="F16" s="65">
        <v>3535489</v>
      </c>
      <c r="G16" s="24"/>
      <c r="H16" s="25">
        <f t="shared" si="0"/>
        <v>1240821</v>
      </c>
      <c r="J16" s="172"/>
      <c r="K16" s="173"/>
      <c r="L16" s="173"/>
      <c r="M16" s="173"/>
      <c r="N16" s="173"/>
    </row>
    <row r="17" spans="2:16" ht="15.75" x14ac:dyDescent="0.25">
      <c r="B17" s="22">
        <f t="shared" si="1"/>
        <v>43745</v>
      </c>
      <c r="C17" s="65">
        <v>4252719</v>
      </c>
      <c r="D17" s="23"/>
      <c r="E17" s="22">
        <f t="shared" si="2"/>
        <v>44110</v>
      </c>
      <c r="F17" s="65">
        <v>3117869</v>
      </c>
      <c r="G17" s="24"/>
      <c r="H17" s="25">
        <f t="shared" si="0"/>
        <v>1134850</v>
      </c>
      <c r="J17" s="172"/>
      <c r="K17" s="174"/>
      <c r="L17" s="174"/>
      <c r="M17" s="174"/>
      <c r="N17" s="174"/>
      <c r="O17" s="91"/>
    </row>
    <row r="18" spans="2:16" ht="15.75" x14ac:dyDescent="0.25">
      <c r="B18" s="22">
        <f t="shared" si="1"/>
        <v>43776</v>
      </c>
      <c r="C18" s="65">
        <v>5061368</v>
      </c>
      <c r="D18" s="23"/>
      <c r="E18" s="22">
        <f t="shared" si="2"/>
        <v>44141</v>
      </c>
      <c r="F18" s="65">
        <v>3677824</v>
      </c>
      <c r="G18" s="24"/>
      <c r="H18" s="25">
        <f t="shared" si="0"/>
        <v>1383544</v>
      </c>
      <c r="O18" s="90"/>
    </row>
    <row r="19" spans="2:16" ht="15.75" x14ac:dyDescent="0.25">
      <c r="B19" s="22">
        <f t="shared" si="1"/>
        <v>43807</v>
      </c>
      <c r="C19" s="65">
        <v>3283001</v>
      </c>
      <c r="D19" s="23"/>
      <c r="E19" s="22">
        <f t="shared" si="2"/>
        <v>44172</v>
      </c>
      <c r="F19" s="65">
        <v>2357470</v>
      </c>
      <c r="G19" s="24"/>
      <c r="H19" s="25">
        <f t="shared" si="0"/>
        <v>925531</v>
      </c>
      <c r="P19" s="92"/>
    </row>
    <row r="20" spans="2:16" x14ac:dyDescent="0.25">
      <c r="P20" s="29"/>
    </row>
    <row r="21" spans="2:16" ht="18.75" customHeight="1" x14ac:dyDescent="0.25">
      <c r="B21" s="400" t="s">
        <v>87</v>
      </c>
      <c r="C21" s="401"/>
      <c r="D21" s="401"/>
      <c r="E21" s="401"/>
      <c r="F21" s="401"/>
      <c r="G21" s="401"/>
      <c r="H21" s="402"/>
    </row>
    <row r="22" spans="2:16" ht="15.75" x14ac:dyDescent="0.25">
      <c r="B22" s="20" t="s">
        <v>77</v>
      </c>
      <c r="C22" s="20" t="s">
        <v>78</v>
      </c>
      <c r="D22" s="21"/>
      <c r="E22" s="20" t="s">
        <v>79</v>
      </c>
      <c r="F22" s="20" t="s">
        <v>78</v>
      </c>
      <c r="G22" s="21"/>
      <c r="H22" s="20" t="s">
        <v>80</v>
      </c>
    </row>
    <row r="23" spans="2:16" ht="15.75" x14ac:dyDescent="0.25">
      <c r="B23" s="22">
        <f>+B8</f>
        <v>43466</v>
      </c>
      <c r="C23" s="65">
        <v>67281</v>
      </c>
      <c r="D23" s="23"/>
      <c r="E23" s="22">
        <f>+E8</f>
        <v>43831</v>
      </c>
      <c r="F23" s="65">
        <v>46088</v>
      </c>
      <c r="G23" s="24"/>
      <c r="H23" s="25">
        <f t="shared" ref="H23:H34" si="3">IF(C23-F23&lt;=0,"",C23-F23)</f>
        <v>21193</v>
      </c>
    </row>
    <row r="24" spans="2:16" ht="15.75" x14ac:dyDescent="0.25">
      <c r="B24" s="22">
        <f t="shared" ref="B24:B34" si="4">+B9</f>
        <v>43497</v>
      </c>
      <c r="C24" s="65">
        <v>83345</v>
      </c>
      <c r="D24" s="23"/>
      <c r="E24" s="22">
        <f t="shared" ref="E24:E34" si="5">+E9</f>
        <v>43862</v>
      </c>
      <c r="F24" s="65">
        <v>56814</v>
      </c>
      <c r="G24" s="24"/>
      <c r="H24" s="25">
        <f t="shared" si="3"/>
        <v>26531</v>
      </c>
    </row>
    <row r="25" spans="2:16" ht="15.75" x14ac:dyDescent="0.25">
      <c r="B25" s="22">
        <f t="shared" si="4"/>
        <v>43528</v>
      </c>
      <c r="C25" s="65">
        <v>65711</v>
      </c>
      <c r="D25" s="23"/>
      <c r="E25" s="22">
        <f t="shared" si="5"/>
        <v>43893</v>
      </c>
      <c r="F25" s="65">
        <v>45311</v>
      </c>
      <c r="G25" s="24"/>
      <c r="H25" s="25">
        <f t="shared" si="3"/>
        <v>20400</v>
      </c>
    </row>
    <row r="26" spans="2:16" ht="15.75" x14ac:dyDescent="0.25">
      <c r="B26" s="22">
        <f t="shared" si="4"/>
        <v>43559</v>
      </c>
      <c r="C26" s="65">
        <v>50151</v>
      </c>
      <c r="D26" s="23"/>
      <c r="E26" s="22">
        <f t="shared" si="5"/>
        <v>43924</v>
      </c>
      <c r="F26" s="65">
        <v>34328</v>
      </c>
      <c r="G26" s="24"/>
      <c r="H26" s="25">
        <f t="shared" si="3"/>
        <v>15823</v>
      </c>
    </row>
    <row r="27" spans="2:16" ht="15.75" x14ac:dyDescent="0.25">
      <c r="B27" s="22">
        <f t="shared" si="4"/>
        <v>43590</v>
      </c>
      <c r="C27" s="65">
        <v>60632</v>
      </c>
      <c r="D27" s="23"/>
      <c r="E27" s="22">
        <f t="shared" si="5"/>
        <v>43955</v>
      </c>
      <c r="F27" s="65">
        <v>42045</v>
      </c>
      <c r="G27" s="24"/>
      <c r="H27" s="25">
        <f t="shared" si="3"/>
        <v>18587</v>
      </c>
    </row>
    <row r="28" spans="2:16" ht="15.75" x14ac:dyDescent="0.25">
      <c r="B28" s="22">
        <f t="shared" si="4"/>
        <v>43621</v>
      </c>
      <c r="C28" s="65">
        <v>59875</v>
      </c>
      <c r="D28" s="23"/>
      <c r="E28" s="22">
        <f t="shared" si="5"/>
        <v>43986</v>
      </c>
      <c r="F28" s="65">
        <v>41170</v>
      </c>
      <c r="G28" s="24"/>
      <c r="H28" s="25">
        <f t="shared" si="3"/>
        <v>18705</v>
      </c>
    </row>
    <row r="29" spans="2:16" ht="15.75" x14ac:dyDescent="0.25">
      <c r="B29" s="22">
        <f t="shared" si="4"/>
        <v>43652</v>
      </c>
      <c r="C29" s="65">
        <v>50876</v>
      </c>
      <c r="D29" s="23"/>
      <c r="E29" s="22">
        <f t="shared" si="5"/>
        <v>44017</v>
      </c>
      <c r="F29" s="65">
        <v>34619</v>
      </c>
      <c r="G29" s="24"/>
      <c r="H29" s="25">
        <f t="shared" si="3"/>
        <v>16257</v>
      </c>
    </row>
    <row r="30" spans="2:16" ht="15.75" x14ac:dyDescent="0.25">
      <c r="B30" s="22">
        <f t="shared" si="4"/>
        <v>43683</v>
      </c>
      <c r="C30" s="65">
        <v>56826</v>
      </c>
      <c r="D30" s="23"/>
      <c r="E30" s="22">
        <f t="shared" si="5"/>
        <v>44048</v>
      </c>
      <c r="F30" s="65">
        <v>38496</v>
      </c>
      <c r="G30" s="24"/>
      <c r="H30" s="25">
        <f t="shared" si="3"/>
        <v>18330</v>
      </c>
    </row>
    <row r="31" spans="2:16" ht="15.75" x14ac:dyDescent="0.25">
      <c r="B31" s="22">
        <f t="shared" si="4"/>
        <v>43714</v>
      </c>
      <c r="C31" s="65">
        <v>1449</v>
      </c>
      <c r="D31" s="23"/>
      <c r="E31" s="22">
        <f t="shared" si="5"/>
        <v>44079</v>
      </c>
      <c r="F31" s="65">
        <v>977</v>
      </c>
      <c r="G31" s="24"/>
      <c r="H31" s="25">
        <f t="shared" si="3"/>
        <v>472</v>
      </c>
    </row>
    <row r="32" spans="2:16" ht="15.75" x14ac:dyDescent="0.25">
      <c r="B32" s="22">
        <f t="shared" si="4"/>
        <v>43745</v>
      </c>
      <c r="C32" s="65">
        <v>989</v>
      </c>
      <c r="D32" s="23"/>
      <c r="E32" s="22">
        <f t="shared" si="5"/>
        <v>44110</v>
      </c>
      <c r="F32" s="65">
        <v>743</v>
      </c>
      <c r="G32" s="24"/>
      <c r="H32" s="25">
        <f t="shared" si="3"/>
        <v>246</v>
      </c>
    </row>
    <row r="33" spans="2:10" ht="15.75" x14ac:dyDescent="0.25">
      <c r="B33" s="22">
        <f t="shared" si="4"/>
        <v>43776</v>
      </c>
      <c r="C33" s="65">
        <v>929</v>
      </c>
      <c r="D33" s="23"/>
      <c r="E33" s="22">
        <f t="shared" si="5"/>
        <v>44141</v>
      </c>
      <c r="F33" s="65">
        <v>619</v>
      </c>
      <c r="G33" s="24"/>
      <c r="H33" s="25">
        <f t="shared" si="3"/>
        <v>310</v>
      </c>
    </row>
    <row r="34" spans="2:10" ht="15.75" x14ac:dyDescent="0.25">
      <c r="B34" s="22">
        <f t="shared" si="4"/>
        <v>43807</v>
      </c>
      <c r="C34" s="65">
        <v>305</v>
      </c>
      <c r="D34" s="23"/>
      <c r="E34" s="22">
        <f t="shared" si="5"/>
        <v>44172</v>
      </c>
      <c r="F34" s="65">
        <v>195</v>
      </c>
      <c r="G34" s="24"/>
      <c r="H34" s="25">
        <f t="shared" si="3"/>
        <v>110</v>
      </c>
    </row>
    <row r="35" spans="2:10" x14ac:dyDescent="0.25">
      <c r="J35" t="s">
        <v>18</v>
      </c>
    </row>
    <row r="36" spans="2:10" ht="18.75" customHeight="1" x14ac:dyDescent="0.25">
      <c r="B36" s="400" t="s">
        <v>88</v>
      </c>
      <c r="C36" s="401"/>
      <c r="D36" s="401"/>
      <c r="E36" s="401"/>
      <c r="F36" s="401"/>
      <c r="G36" s="401"/>
      <c r="H36" s="402"/>
    </row>
    <row r="37" spans="2:10" ht="15.75" x14ac:dyDescent="0.25">
      <c r="B37" s="20" t="s">
        <v>77</v>
      </c>
      <c r="C37" s="20" t="s">
        <v>78</v>
      </c>
      <c r="D37" s="21"/>
      <c r="E37" s="20" t="s">
        <v>79</v>
      </c>
      <c r="F37" s="20" t="s">
        <v>78</v>
      </c>
      <c r="G37" s="21"/>
      <c r="H37" s="20" t="s">
        <v>80</v>
      </c>
    </row>
    <row r="38" spans="2:10" ht="15.75" x14ac:dyDescent="0.25">
      <c r="B38" s="22">
        <f>+B23</f>
        <v>43466</v>
      </c>
      <c r="C38" s="65">
        <v>400533</v>
      </c>
      <c r="D38" s="23"/>
      <c r="E38" s="22">
        <f>+E23</f>
        <v>43831</v>
      </c>
      <c r="F38" s="65">
        <v>270301</v>
      </c>
      <c r="G38" s="24"/>
      <c r="H38" s="25">
        <f t="shared" ref="H38:H49" si="6">IF(C38-F38&lt;=0,"",C38-F38)</f>
        <v>130232</v>
      </c>
    </row>
    <row r="39" spans="2:10" ht="15.75" x14ac:dyDescent="0.25">
      <c r="B39" s="22">
        <f t="shared" ref="B39:B49" si="7">+B24</f>
        <v>43497</v>
      </c>
      <c r="C39" s="65">
        <v>509869</v>
      </c>
      <c r="D39" s="23"/>
      <c r="E39" s="22">
        <f t="shared" ref="E39:E49" si="8">+E24</f>
        <v>43862</v>
      </c>
      <c r="F39" s="65">
        <v>352151</v>
      </c>
      <c r="G39" s="24"/>
      <c r="H39" s="25">
        <f t="shared" si="6"/>
        <v>157718</v>
      </c>
    </row>
    <row r="40" spans="2:10" ht="15.75" x14ac:dyDescent="0.25">
      <c r="B40" s="22">
        <f t="shared" si="7"/>
        <v>43528</v>
      </c>
      <c r="C40" s="65">
        <v>489484</v>
      </c>
      <c r="D40" s="23"/>
      <c r="E40" s="22">
        <f t="shared" si="8"/>
        <v>43893</v>
      </c>
      <c r="F40" s="65">
        <v>346529</v>
      </c>
      <c r="G40" s="24"/>
      <c r="H40" s="25">
        <f t="shared" si="6"/>
        <v>142955</v>
      </c>
    </row>
    <row r="41" spans="2:10" ht="15.75" x14ac:dyDescent="0.25">
      <c r="B41" s="22">
        <f t="shared" si="7"/>
        <v>43559</v>
      </c>
      <c r="C41" s="65">
        <v>650353</v>
      </c>
      <c r="D41" s="23"/>
      <c r="E41" s="22">
        <f t="shared" si="8"/>
        <v>43924</v>
      </c>
      <c r="F41" s="65">
        <v>325578</v>
      </c>
      <c r="G41" s="24"/>
      <c r="H41" s="25">
        <f t="shared" si="6"/>
        <v>324775</v>
      </c>
    </row>
    <row r="42" spans="2:10" ht="15.75" x14ac:dyDescent="0.25">
      <c r="B42" s="22">
        <f t="shared" si="7"/>
        <v>43590</v>
      </c>
      <c r="C42" s="65">
        <v>673305</v>
      </c>
      <c r="D42" s="23"/>
      <c r="E42" s="22">
        <f t="shared" si="8"/>
        <v>43955</v>
      </c>
      <c r="F42" s="65">
        <v>302781</v>
      </c>
      <c r="G42" s="24"/>
      <c r="H42" s="25">
        <f t="shared" si="6"/>
        <v>370524</v>
      </c>
    </row>
    <row r="43" spans="2:10" ht="15.75" x14ac:dyDescent="0.25">
      <c r="B43" s="22">
        <f t="shared" si="7"/>
        <v>43621</v>
      </c>
      <c r="C43" s="65">
        <v>678308</v>
      </c>
      <c r="D43" s="23"/>
      <c r="E43" s="22">
        <f t="shared" si="8"/>
        <v>43986</v>
      </c>
      <c r="F43" s="65">
        <v>321765</v>
      </c>
      <c r="G43" s="24"/>
      <c r="H43" s="25">
        <f t="shared" si="6"/>
        <v>356543</v>
      </c>
    </row>
    <row r="44" spans="2:10" ht="15.75" x14ac:dyDescent="0.25">
      <c r="B44" s="22">
        <f t="shared" si="7"/>
        <v>43652</v>
      </c>
      <c r="C44" s="65">
        <v>674724</v>
      </c>
      <c r="D44" s="23"/>
      <c r="E44" s="22">
        <f t="shared" si="8"/>
        <v>44017</v>
      </c>
      <c r="F44" s="65">
        <v>348818</v>
      </c>
      <c r="G44" s="24"/>
      <c r="H44" s="25">
        <f t="shared" si="6"/>
        <v>325906</v>
      </c>
    </row>
    <row r="45" spans="2:10" ht="15.75" x14ac:dyDescent="0.25">
      <c r="B45" s="22">
        <f t="shared" si="7"/>
        <v>43683</v>
      </c>
      <c r="C45" s="65">
        <v>692939</v>
      </c>
      <c r="D45" s="23"/>
      <c r="E45" s="22">
        <f t="shared" si="8"/>
        <v>44048</v>
      </c>
      <c r="F45" s="65">
        <v>397090</v>
      </c>
      <c r="G45" s="24"/>
      <c r="H45" s="25">
        <f t="shared" si="6"/>
        <v>295849</v>
      </c>
    </row>
    <row r="46" spans="2:10" ht="15.75" x14ac:dyDescent="0.25">
      <c r="B46" s="22">
        <f t="shared" si="7"/>
        <v>43714</v>
      </c>
      <c r="C46" s="65">
        <v>781533</v>
      </c>
      <c r="D46" s="23"/>
      <c r="E46" s="22">
        <f t="shared" si="8"/>
        <v>44079</v>
      </c>
      <c r="F46" s="65">
        <v>441809</v>
      </c>
      <c r="G46" s="24"/>
      <c r="H46" s="25">
        <f t="shared" si="6"/>
        <v>339724</v>
      </c>
    </row>
    <row r="47" spans="2:10" ht="15.75" x14ac:dyDescent="0.25">
      <c r="B47" s="22">
        <f t="shared" si="7"/>
        <v>43745</v>
      </c>
      <c r="C47" s="65">
        <v>709567</v>
      </c>
      <c r="D47" s="23"/>
      <c r="E47" s="22">
        <f t="shared" si="8"/>
        <v>44110</v>
      </c>
      <c r="F47" s="65">
        <v>426437</v>
      </c>
      <c r="G47" s="24"/>
      <c r="H47" s="25">
        <f t="shared" si="6"/>
        <v>283130</v>
      </c>
    </row>
    <row r="48" spans="2:10" ht="15.75" x14ac:dyDescent="0.25">
      <c r="B48" s="22">
        <f t="shared" si="7"/>
        <v>43776</v>
      </c>
      <c r="C48" s="65">
        <v>723199</v>
      </c>
      <c r="D48" s="23"/>
      <c r="E48" s="22">
        <f t="shared" si="8"/>
        <v>44141</v>
      </c>
      <c r="F48" s="65">
        <v>432096</v>
      </c>
      <c r="G48" s="24"/>
      <c r="H48" s="25">
        <f t="shared" si="6"/>
        <v>291103</v>
      </c>
    </row>
    <row r="49" spans="2:8" ht="15.75" x14ac:dyDescent="0.25">
      <c r="B49" s="22">
        <f t="shared" si="7"/>
        <v>43807</v>
      </c>
      <c r="C49" s="65">
        <v>593647</v>
      </c>
      <c r="D49" s="23"/>
      <c r="E49" s="22">
        <f t="shared" si="8"/>
        <v>44172</v>
      </c>
      <c r="F49" s="65">
        <v>372708</v>
      </c>
      <c r="G49" s="24"/>
      <c r="H49" s="25">
        <f t="shared" si="6"/>
        <v>220939</v>
      </c>
    </row>
    <row r="51" spans="2:8" ht="18.75" customHeight="1" x14ac:dyDescent="0.25">
      <c r="B51" s="400" t="s">
        <v>89</v>
      </c>
      <c r="C51" s="401"/>
      <c r="D51" s="401"/>
      <c r="E51" s="401"/>
      <c r="F51" s="401"/>
      <c r="G51" s="401"/>
      <c r="H51" s="402"/>
    </row>
    <row r="52" spans="2:8" ht="15.75" x14ac:dyDescent="0.25">
      <c r="B52" s="20" t="s">
        <v>77</v>
      </c>
      <c r="C52" s="20" t="s">
        <v>78</v>
      </c>
      <c r="D52" s="21"/>
      <c r="E52" s="20" t="s">
        <v>79</v>
      </c>
      <c r="F52" s="20" t="s">
        <v>78</v>
      </c>
      <c r="G52" s="21"/>
      <c r="H52" s="20" t="s">
        <v>80</v>
      </c>
    </row>
    <row r="53" spans="2:8" ht="15.75" x14ac:dyDescent="0.25">
      <c r="B53" s="22">
        <f>+B38</f>
        <v>43466</v>
      </c>
      <c r="C53" s="65">
        <v>13613</v>
      </c>
      <c r="D53" s="23"/>
      <c r="E53" s="22">
        <f>+E38</f>
        <v>43831</v>
      </c>
      <c r="F53" s="65">
        <v>10081</v>
      </c>
      <c r="G53" s="24"/>
      <c r="H53" s="25">
        <f t="shared" ref="H53:H64" si="9">IF(C53-F53&lt;=0,"",C53-F53)</f>
        <v>3532</v>
      </c>
    </row>
    <row r="54" spans="2:8" ht="15.75" x14ac:dyDescent="0.25">
      <c r="B54" s="22">
        <f t="shared" ref="B54:B64" si="10">+B39</f>
        <v>43497</v>
      </c>
      <c r="C54" s="65">
        <v>28846</v>
      </c>
      <c r="D54" s="23"/>
      <c r="E54" s="22">
        <f t="shared" ref="E54:E64" si="11">+E39</f>
        <v>43862</v>
      </c>
      <c r="F54" s="65">
        <v>14639</v>
      </c>
      <c r="G54" s="24"/>
      <c r="H54" s="25">
        <f t="shared" si="9"/>
        <v>14207</v>
      </c>
    </row>
    <row r="55" spans="2:8" ht="15.75" x14ac:dyDescent="0.25">
      <c r="B55" s="22">
        <f t="shared" si="10"/>
        <v>43528</v>
      </c>
      <c r="C55" s="65">
        <v>20954</v>
      </c>
      <c r="D55" s="23"/>
      <c r="E55" s="22">
        <f t="shared" si="11"/>
        <v>43893</v>
      </c>
      <c r="F55" s="65">
        <v>8147</v>
      </c>
      <c r="G55" s="24"/>
      <c r="H55" s="25">
        <f t="shared" si="9"/>
        <v>12807</v>
      </c>
    </row>
    <row r="56" spans="2:8" ht="15.75" x14ac:dyDescent="0.25">
      <c r="B56" s="22">
        <f t="shared" si="10"/>
        <v>43559</v>
      </c>
      <c r="C56" s="65">
        <v>28929</v>
      </c>
      <c r="D56" s="23"/>
      <c r="E56" s="22">
        <f t="shared" si="11"/>
        <v>43924</v>
      </c>
      <c r="F56" s="65">
        <v>13881</v>
      </c>
      <c r="G56" s="24"/>
      <c r="H56" s="25">
        <f t="shared" si="9"/>
        <v>15048</v>
      </c>
    </row>
    <row r="57" spans="2:8" ht="15.75" x14ac:dyDescent="0.25">
      <c r="B57" s="22">
        <f t="shared" si="10"/>
        <v>43590</v>
      </c>
      <c r="C57" s="65">
        <v>22817</v>
      </c>
      <c r="D57" s="23"/>
      <c r="E57" s="22">
        <f t="shared" si="11"/>
        <v>43955</v>
      </c>
      <c r="F57" s="65">
        <v>10017</v>
      </c>
      <c r="G57" s="24"/>
      <c r="H57" s="25">
        <f t="shared" si="9"/>
        <v>12800</v>
      </c>
    </row>
    <row r="58" spans="2:8" ht="15.75" x14ac:dyDescent="0.25">
      <c r="B58" s="22">
        <f t="shared" si="10"/>
        <v>43621</v>
      </c>
      <c r="C58" s="65">
        <v>24610</v>
      </c>
      <c r="D58" s="23"/>
      <c r="E58" s="22">
        <f t="shared" si="11"/>
        <v>43986</v>
      </c>
      <c r="F58" s="65">
        <v>13847</v>
      </c>
      <c r="G58" s="24"/>
      <c r="H58" s="25">
        <f t="shared" si="9"/>
        <v>10763</v>
      </c>
    </row>
    <row r="59" spans="2:8" ht="15.75" x14ac:dyDescent="0.25">
      <c r="B59" s="22">
        <f t="shared" si="10"/>
        <v>43652</v>
      </c>
      <c r="C59" s="65">
        <v>25582</v>
      </c>
      <c r="D59" s="23"/>
      <c r="E59" s="22">
        <f t="shared" si="11"/>
        <v>44017</v>
      </c>
      <c r="F59" s="65">
        <v>10728</v>
      </c>
      <c r="G59" s="24"/>
      <c r="H59" s="25">
        <f t="shared" si="9"/>
        <v>14854</v>
      </c>
    </row>
    <row r="60" spans="2:8" ht="15.75" x14ac:dyDescent="0.25">
      <c r="B60" s="22">
        <f t="shared" si="10"/>
        <v>43683</v>
      </c>
      <c r="C60" s="65">
        <v>23258</v>
      </c>
      <c r="D60" s="23"/>
      <c r="E60" s="22">
        <f t="shared" si="11"/>
        <v>44048</v>
      </c>
      <c r="F60" s="65">
        <v>10719</v>
      </c>
      <c r="G60" s="24"/>
      <c r="H60" s="25">
        <f t="shared" si="9"/>
        <v>12539</v>
      </c>
    </row>
    <row r="61" spans="2:8" ht="15.75" x14ac:dyDescent="0.25">
      <c r="B61" s="22">
        <f t="shared" si="10"/>
        <v>43714</v>
      </c>
      <c r="C61" s="65">
        <v>33521</v>
      </c>
      <c r="D61" s="23"/>
      <c r="E61" s="22">
        <f t="shared" si="11"/>
        <v>44079</v>
      </c>
      <c r="F61" s="65">
        <v>21724</v>
      </c>
      <c r="G61" s="24"/>
      <c r="H61" s="25">
        <f t="shared" si="9"/>
        <v>11797</v>
      </c>
    </row>
    <row r="62" spans="2:8" ht="15.75" x14ac:dyDescent="0.25">
      <c r="B62" s="22">
        <f t="shared" si="10"/>
        <v>43745</v>
      </c>
      <c r="C62" s="65">
        <v>26129</v>
      </c>
      <c r="D62" s="23"/>
      <c r="E62" s="22">
        <f t="shared" si="11"/>
        <v>44110</v>
      </c>
      <c r="F62" s="65">
        <v>13474</v>
      </c>
      <c r="G62" s="24"/>
      <c r="H62" s="25">
        <f t="shared" si="9"/>
        <v>12655</v>
      </c>
    </row>
    <row r="63" spans="2:8" ht="15.75" x14ac:dyDescent="0.25">
      <c r="B63" s="22">
        <f t="shared" si="10"/>
        <v>43776</v>
      </c>
      <c r="C63" s="65">
        <v>33449</v>
      </c>
      <c r="D63" s="23"/>
      <c r="E63" s="22">
        <f t="shared" si="11"/>
        <v>44141</v>
      </c>
      <c r="F63" s="65">
        <v>22081</v>
      </c>
      <c r="G63" s="24"/>
      <c r="H63" s="25">
        <f t="shared" si="9"/>
        <v>11368</v>
      </c>
    </row>
    <row r="64" spans="2:8" ht="15.75" x14ac:dyDescent="0.25">
      <c r="B64" s="22">
        <f t="shared" si="10"/>
        <v>43807</v>
      </c>
      <c r="C64" s="65">
        <v>28608</v>
      </c>
      <c r="D64" s="23"/>
      <c r="E64" s="22">
        <f t="shared" si="11"/>
        <v>44172</v>
      </c>
      <c r="F64" s="65">
        <v>16009</v>
      </c>
      <c r="G64" s="24"/>
      <c r="H64" s="25">
        <f t="shared" si="9"/>
        <v>12599</v>
      </c>
    </row>
    <row r="65" spans="2:2" x14ac:dyDescent="0.25">
      <c r="B65" s="5" t="s">
        <v>18</v>
      </c>
    </row>
    <row r="76" spans="2:2" ht="20.25" customHeight="1" x14ac:dyDescent="0.25"/>
  </sheetData>
  <mergeCells count="6">
    <mergeCell ref="B51:H51"/>
    <mergeCell ref="J6:N6"/>
    <mergeCell ref="B36:H36"/>
    <mergeCell ref="E3:K3"/>
    <mergeCell ref="B6:H6"/>
    <mergeCell ref="B21:H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tabColor rgb="FF002060"/>
  </sheetPr>
  <dimension ref="A1:H40"/>
  <sheetViews>
    <sheetView showGridLines="0" topLeftCell="A16" zoomScaleNormal="100" workbookViewId="0">
      <selection activeCell="C29" sqref="C29"/>
    </sheetView>
  </sheetViews>
  <sheetFormatPr defaultRowHeight="15" x14ac:dyDescent="0.25"/>
  <cols>
    <col min="1" max="1" width="4.7109375" style="33" customWidth="1"/>
    <col min="2" max="2" width="45" style="33" customWidth="1"/>
    <col min="3" max="3" width="16.85546875" style="33" customWidth="1"/>
    <col min="4" max="4" width="3.42578125" customWidth="1"/>
    <col min="5" max="5" width="17.42578125" bestFit="1" customWidth="1"/>
    <col min="8" max="8" width="13.140625" bestFit="1" customWidth="1"/>
  </cols>
  <sheetData>
    <row r="1" spans="2:8" s="33" customFormat="1" ht="14.25" x14ac:dyDescent="0.25"/>
    <row r="2" spans="2:8" s="33" customFormat="1" ht="14.25" x14ac:dyDescent="0.25"/>
    <row r="3" spans="2:8" s="33" customFormat="1" ht="18" customHeight="1" x14ac:dyDescent="0.25">
      <c r="B3" s="375" t="s">
        <v>90</v>
      </c>
      <c r="C3" s="375"/>
      <c r="D3" s="375"/>
      <c r="E3" s="375"/>
    </row>
    <row r="4" spans="2:8" s="33" customFormat="1" ht="28.5" customHeight="1" x14ac:dyDescent="0.25">
      <c r="H4" s="63"/>
    </row>
    <row r="5" spans="2:8" s="33" customFormat="1" ht="18" customHeight="1" x14ac:dyDescent="0.25">
      <c r="B5" s="186" t="s">
        <v>257</v>
      </c>
      <c r="C5" s="187" t="s">
        <v>91</v>
      </c>
    </row>
    <row r="6" spans="2:8" s="33" customFormat="1" ht="18" customHeight="1" x14ac:dyDescent="0.25">
      <c r="B6" s="200" t="s">
        <v>92</v>
      </c>
      <c r="C6" s="201">
        <v>0.01</v>
      </c>
      <c r="H6" s="64"/>
    </row>
    <row r="7" spans="2:8" s="33" customFormat="1" ht="18" customHeight="1" x14ac:dyDescent="0.25">
      <c r="B7" s="200" t="s">
        <v>93</v>
      </c>
      <c r="C7" s="201">
        <v>2.5000000000000001E-2</v>
      </c>
      <c r="H7" s="63"/>
    </row>
    <row r="8" spans="2:8" s="33" customFormat="1" ht="9" customHeight="1" x14ac:dyDescent="0.25">
      <c r="B8" s="195"/>
      <c r="C8" s="196"/>
    </row>
    <row r="9" spans="2:8" s="34" customFormat="1" ht="18" customHeight="1" x14ac:dyDescent="0.25">
      <c r="B9" s="403" t="s">
        <v>94</v>
      </c>
      <c r="C9" s="403"/>
      <c r="D9" s="33"/>
      <c r="E9" s="33"/>
      <c r="F9" s="33"/>
    </row>
    <row r="10" spans="2:8" s="33" customFormat="1" ht="18" customHeight="1" x14ac:dyDescent="0.25">
      <c r="B10" s="188" t="s">
        <v>95</v>
      </c>
      <c r="C10" s="189">
        <f>+Volume_2020!R52</f>
        <v>167681574</v>
      </c>
    </row>
    <row r="11" spans="2:8" s="33" customFormat="1" ht="18" customHeight="1" x14ac:dyDescent="0.25">
      <c r="B11" s="188" t="s">
        <v>96</v>
      </c>
      <c r="C11" s="189">
        <f>+Volume_2020!R84</f>
        <v>142497252.31999999</v>
      </c>
    </row>
    <row r="12" spans="2:8" s="33" customFormat="1" ht="18" customHeight="1" x14ac:dyDescent="0.25">
      <c r="B12" s="190" t="s">
        <v>97</v>
      </c>
      <c r="C12" s="189">
        <f>Volume_2020!R52+Volume_2020!R84</f>
        <v>310178826.31999999</v>
      </c>
      <c r="E12" s="62"/>
    </row>
    <row r="13" spans="2:8" s="33" customFormat="1" ht="18" customHeight="1" x14ac:dyDescent="0.25">
      <c r="B13" s="190" t="s">
        <v>98</v>
      </c>
      <c r="C13" s="189">
        <f>'CF 2021'!AA15</f>
        <v>1771510184.8199997</v>
      </c>
    </row>
    <row r="14" spans="2:8" s="34" customFormat="1" ht="18" customHeight="1" x14ac:dyDescent="0.25">
      <c r="B14" s="202" t="s">
        <v>99</v>
      </c>
      <c r="C14" s="192">
        <f>C6*C13</f>
        <v>17715101.848199997</v>
      </c>
      <c r="D14" s="33"/>
      <c r="E14" s="33"/>
      <c r="F14" s="33"/>
      <c r="G14" s="33"/>
      <c r="H14" s="33"/>
    </row>
    <row r="15" spans="2:8" s="33" customFormat="1" ht="9" customHeight="1" x14ac:dyDescent="0.25">
      <c r="B15" s="195"/>
      <c r="C15" s="196"/>
    </row>
    <row r="16" spans="2:8" s="33" customFormat="1" ht="18" customHeight="1" x14ac:dyDescent="0.25">
      <c r="B16" s="403" t="s">
        <v>100</v>
      </c>
      <c r="C16" s="403"/>
    </row>
    <row r="17" spans="2:5" s="33" customFormat="1" ht="18" customHeight="1" x14ac:dyDescent="0.25">
      <c r="B17" s="188" t="s">
        <v>101</v>
      </c>
      <c r="C17" s="189">
        <f>'CF 2021'!AA8</f>
        <v>251704699</v>
      </c>
    </row>
    <row r="18" spans="2:5" s="33" customFormat="1" ht="18" customHeight="1" x14ac:dyDescent="0.25">
      <c r="B18" s="188" t="s">
        <v>102</v>
      </c>
      <c r="C18" s="189">
        <f>'CF 2021'!AA9</f>
        <v>140210043</v>
      </c>
    </row>
    <row r="19" spans="2:5" s="33" customFormat="1" ht="18" customHeight="1" x14ac:dyDescent="0.25">
      <c r="B19" s="190" t="s">
        <v>103</v>
      </c>
      <c r="C19" s="189">
        <f>SUM(C17:C18)</f>
        <v>391914742</v>
      </c>
    </row>
    <row r="20" spans="2:5" s="33" customFormat="1" ht="18" customHeight="1" x14ac:dyDescent="0.25">
      <c r="B20" s="190" t="s">
        <v>104</v>
      </c>
      <c r="C20" s="189">
        <f>'CF 2021'!AA16</f>
        <v>2251425030.7975864</v>
      </c>
    </row>
    <row r="21" spans="2:5" s="33" customFormat="1" x14ac:dyDescent="0.25">
      <c r="B21" s="202" t="s">
        <v>105</v>
      </c>
      <c r="C21" s="192">
        <f>C7*C20</f>
        <v>56285625.769939661</v>
      </c>
    </row>
    <row r="22" spans="2:5" s="33" customFormat="1" ht="9" customHeight="1" x14ac:dyDescent="0.25">
      <c r="B22" s="195"/>
      <c r="C22" s="196"/>
    </row>
    <row r="23" spans="2:5" s="33" customFormat="1" x14ac:dyDescent="0.25">
      <c r="B23" s="193" t="s">
        <v>106</v>
      </c>
      <c r="C23" s="194">
        <v>60000</v>
      </c>
    </row>
    <row r="24" spans="2:5" s="33" customFormat="1" ht="9" customHeight="1" x14ac:dyDescent="0.25">
      <c r="B24" s="195"/>
      <c r="C24" s="196"/>
    </row>
    <row r="25" spans="2:5" s="33" customFormat="1" ht="30" x14ac:dyDescent="0.25">
      <c r="B25" s="260" t="s">
        <v>258</v>
      </c>
      <c r="C25" s="261">
        <v>7380411.1100000003</v>
      </c>
      <c r="E25" s="326"/>
    </row>
    <row r="26" spans="2:5" s="33" customFormat="1" ht="28.9" customHeight="1" x14ac:dyDescent="0.25">
      <c r="B26" s="260" t="s">
        <v>303</v>
      </c>
      <c r="C26" s="261">
        <v>3733465</v>
      </c>
      <c r="E26" s="326"/>
    </row>
    <row r="27" spans="2:5" s="33" customFormat="1" ht="28.9" customHeight="1" x14ac:dyDescent="0.25">
      <c r="B27" s="260" t="s">
        <v>304</v>
      </c>
      <c r="C27" s="261">
        <v>11726255.539999999</v>
      </c>
    </row>
    <row r="28" spans="2:5" s="33" customFormat="1" ht="9" customHeight="1" x14ac:dyDescent="0.25">
      <c r="B28" s="195"/>
      <c r="C28" s="195"/>
    </row>
    <row r="29" spans="2:5" s="33" customFormat="1" ht="28.9" customHeight="1" x14ac:dyDescent="0.25">
      <c r="B29" s="260" t="s">
        <v>259</v>
      </c>
      <c r="C29" s="261">
        <f>E30*0.2%</f>
        <v>3462999.43854</v>
      </c>
      <c r="E29" s="338" t="s">
        <v>307</v>
      </c>
    </row>
    <row r="30" spans="2:5" s="33" customFormat="1" ht="10.15" customHeight="1" x14ac:dyDescent="0.25">
      <c r="B30" s="195"/>
      <c r="C30" s="196"/>
      <c r="E30" s="337">
        <v>1731499719.27</v>
      </c>
    </row>
    <row r="31" spans="2:5" s="33" customFormat="1" ht="28.9" customHeight="1" x14ac:dyDescent="0.25">
      <c r="B31" s="264" t="s">
        <v>260</v>
      </c>
      <c r="C31" s="265">
        <v>-5.6000000000000001E-2</v>
      </c>
    </row>
    <row r="32" spans="2:5" s="33" customFormat="1" ht="9" customHeight="1" x14ac:dyDescent="0.25">
      <c r="B32" s="195"/>
      <c r="C32" s="196"/>
    </row>
    <row r="33" spans="1:3" s="33" customFormat="1" ht="18" x14ac:dyDescent="0.25">
      <c r="B33" s="191" t="s">
        <v>107</v>
      </c>
      <c r="C33" s="192">
        <f>(C14+C21+C23+'RTP 2020'!E17)*(1+C31)+C26+C27+C29+C25-'RTP 2020'!E17</f>
        <v>95812695.277103812</v>
      </c>
    </row>
    <row r="34" spans="1:3" s="33" customFormat="1" ht="9" customHeight="1" x14ac:dyDescent="0.25">
      <c r="B34" s="195"/>
      <c r="C34" s="196"/>
    </row>
    <row r="35" spans="1:3" s="33" customFormat="1" x14ac:dyDescent="0.25">
      <c r="B35" s="404" t="s">
        <v>108</v>
      </c>
      <c r="C35" s="405"/>
    </row>
    <row r="36" spans="1:3" s="33" customFormat="1" ht="15" customHeight="1" x14ac:dyDescent="0.25">
      <c r="B36" s="199" t="s">
        <v>109</v>
      </c>
      <c r="C36" s="198">
        <f>C33/C12</f>
        <v>0.30889502166810512</v>
      </c>
    </row>
    <row r="37" spans="1:3" x14ac:dyDescent="0.25">
      <c r="A37"/>
      <c r="B37" s="69"/>
      <c r="C37" s="69"/>
    </row>
    <row r="38" spans="1:3" x14ac:dyDescent="0.25">
      <c r="A38"/>
      <c r="B38" s="114"/>
      <c r="C38" s="69"/>
    </row>
    <row r="39" spans="1:3" x14ac:dyDescent="0.25">
      <c r="B39" s="69"/>
    </row>
    <row r="40" spans="1:3" x14ac:dyDescent="0.25">
      <c r="B40" s="262"/>
      <c r="C40" s="263"/>
    </row>
  </sheetData>
  <mergeCells count="4">
    <mergeCell ref="B9:C9"/>
    <mergeCell ref="B16:C16"/>
    <mergeCell ref="B35:C35"/>
    <mergeCell ref="B3:E3"/>
  </mergeCells>
  <pageMargins left="0.511811024" right="0.511811024" top="0.78740157499999996" bottom="0.78740157499999996" header="0.31496062000000002" footer="0.31496062000000002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rgb="FF002060"/>
  </sheetPr>
  <dimension ref="A1:L41"/>
  <sheetViews>
    <sheetView showGridLines="0" topLeftCell="A25" zoomScale="90" zoomScaleNormal="90" workbookViewId="0">
      <selection activeCell="C19" sqref="C19"/>
    </sheetView>
  </sheetViews>
  <sheetFormatPr defaultRowHeight="15" x14ac:dyDescent="0.25"/>
  <cols>
    <col min="1" max="1" width="4.7109375" style="1" customWidth="1"/>
    <col min="2" max="2" width="23.42578125" style="1" customWidth="1"/>
    <col min="3" max="3" width="17.28515625" style="1" customWidth="1"/>
    <col min="4" max="4" width="16.7109375" style="1" customWidth="1"/>
    <col min="5" max="5" width="14" style="1" customWidth="1"/>
    <col min="6" max="6" width="13.5703125" style="1" customWidth="1"/>
    <col min="7" max="7" width="18.140625" style="1" customWidth="1"/>
    <col min="8" max="8" width="19" style="1" bestFit="1" customWidth="1"/>
    <col min="9" max="9" width="58" bestFit="1" customWidth="1"/>
    <col min="10" max="10" width="18.85546875" bestFit="1" customWidth="1"/>
    <col min="11" max="11" width="15.5703125" bestFit="1" customWidth="1"/>
    <col min="12" max="12" width="12.140625" bestFit="1" customWidth="1"/>
    <col min="13" max="15" width="65.140625" customWidth="1"/>
  </cols>
  <sheetData>
    <row r="1" spans="2:8" s="1" customFormat="1" ht="14.25" x14ac:dyDescent="0.2"/>
    <row r="2" spans="2:8" s="1" customFormat="1" ht="14.25" x14ac:dyDescent="0.2"/>
    <row r="3" spans="2:8" s="1" customFormat="1" ht="18" x14ac:dyDescent="0.2">
      <c r="C3" s="379" t="s">
        <v>110</v>
      </c>
      <c r="D3" s="379"/>
      <c r="E3" s="379"/>
      <c r="F3" s="379"/>
      <c r="G3" s="379"/>
      <c r="H3" s="13"/>
    </row>
    <row r="4" spans="2:8" s="1" customFormat="1" ht="14.25" x14ac:dyDescent="0.2"/>
    <row r="5" spans="2:8" s="1" customFormat="1" ht="14.25" x14ac:dyDescent="0.2"/>
    <row r="6" spans="2:8" s="1" customFormat="1" ht="14.25" x14ac:dyDescent="0.2"/>
    <row r="7" spans="2:8" s="1" customFormat="1" ht="17.100000000000001" customHeight="1" x14ac:dyDescent="0.25">
      <c r="B7" s="408" t="s">
        <v>111</v>
      </c>
      <c r="C7" s="408"/>
      <c r="D7" s="408"/>
      <c r="E7" s="408"/>
      <c r="F7" s="408"/>
      <c r="G7" s="408"/>
    </row>
    <row r="8" spans="2:8" s="1" customFormat="1" ht="17.100000000000001" customHeight="1" x14ac:dyDescent="0.2">
      <c r="B8" s="254"/>
      <c r="C8" s="254" t="s">
        <v>20</v>
      </c>
      <c r="D8" s="254" t="s">
        <v>112</v>
      </c>
      <c r="E8" s="203" t="s">
        <v>113</v>
      </c>
      <c r="F8" s="255" t="s">
        <v>114</v>
      </c>
      <c r="G8" s="255" t="s">
        <v>115</v>
      </c>
    </row>
    <row r="9" spans="2:8" s="37" customFormat="1" ht="18" customHeight="1" x14ac:dyDescent="0.25">
      <c r="B9" s="197" t="s">
        <v>116</v>
      </c>
      <c r="C9" s="197" t="s">
        <v>117</v>
      </c>
      <c r="D9" s="210">
        <v>515403108.97827083</v>
      </c>
      <c r="E9" s="204">
        <f>D9/$D$14</f>
        <v>0.36165333061793742</v>
      </c>
      <c r="F9" s="204">
        <f>+Indices_2021!$C$22</f>
        <v>5.4473158845030234E-2</v>
      </c>
      <c r="G9" s="205">
        <f>E9*F9</f>
        <v>1.9700399325585143E-2</v>
      </c>
    </row>
    <row r="10" spans="2:8" s="37" customFormat="1" ht="18" customHeight="1" x14ac:dyDescent="0.25">
      <c r="B10" s="197" t="s">
        <v>118</v>
      </c>
      <c r="C10" s="197" t="s">
        <v>119</v>
      </c>
      <c r="D10" s="210">
        <v>135923148.23295999</v>
      </c>
      <c r="E10" s="204">
        <f t="shared" ref="E10:E13" si="0">D10/$D$14</f>
        <v>9.5375946342221296E-2</v>
      </c>
      <c r="F10" s="204">
        <f>+Indices_2021!J32</f>
        <v>-0.11124890872757309</v>
      </c>
      <c r="G10" s="205">
        <f t="shared" ref="G10:G13" si="1">E10*F10</f>
        <v>-1.0610469949431685E-2</v>
      </c>
    </row>
    <row r="11" spans="2:8" s="37" customFormat="1" ht="18" customHeight="1" x14ac:dyDescent="0.25">
      <c r="B11" s="197" t="s">
        <v>120</v>
      </c>
      <c r="C11" s="197" t="s">
        <v>121</v>
      </c>
      <c r="D11" s="210">
        <v>73053331.884937555</v>
      </c>
      <c r="E11" s="204">
        <f>D11/$D$14</f>
        <v>5.1260809895578421E-2</v>
      </c>
      <c r="F11" s="204">
        <f>+Indices_2021!$E$22</f>
        <v>0.23138351126052559</v>
      </c>
      <c r="G11" s="205">
        <f t="shared" si="1"/>
        <v>1.1860906183697232E-2</v>
      </c>
    </row>
    <row r="12" spans="2:8" s="37" customFormat="1" ht="29.45" customHeight="1" x14ac:dyDescent="0.25">
      <c r="B12" s="206" t="s">
        <v>122</v>
      </c>
      <c r="C12" s="206" t="s">
        <v>123</v>
      </c>
      <c r="D12" s="211">
        <v>419369708.61725491</v>
      </c>
      <c r="E12" s="204">
        <f t="shared" si="0"/>
        <v>0.29426763098570746</v>
      </c>
      <c r="F12" s="204">
        <f>+F11</f>
        <v>0.23138351126052559</v>
      </c>
      <c r="G12" s="205">
        <f t="shared" si="1"/>
        <v>6.8088677707789633E-2</v>
      </c>
    </row>
    <row r="13" spans="2:8" s="37" customFormat="1" ht="18" customHeight="1" x14ac:dyDescent="0.25">
      <c r="B13" s="206" t="s">
        <v>124</v>
      </c>
      <c r="C13" s="206" t="s">
        <v>125</v>
      </c>
      <c r="D13" s="210">
        <v>281380973.02853155</v>
      </c>
      <c r="E13" s="204">
        <f t="shared" si="0"/>
        <v>0.19744228215855544</v>
      </c>
      <c r="F13" s="207">
        <f>+Indices_2021!$D$22</f>
        <v>4.517456886424509E-2</v>
      </c>
      <c r="G13" s="205">
        <f t="shared" si="1"/>
        <v>8.9193699720853722E-3</v>
      </c>
    </row>
    <row r="14" spans="2:8" s="37" customFormat="1" ht="18" customHeight="1" x14ac:dyDescent="0.25">
      <c r="B14" s="206"/>
      <c r="C14" s="249" t="s">
        <v>32</v>
      </c>
      <c r="D14" s="250">
        <f>SUM(D9:D13)</f>
        <v>1425130270.7419548</v>
      </c>
      <c r="E14" s="204">
        <f>SUM(E9:E13)</f>
        <v>1.0000000000000002</v>
      </c>
      <c r="F14" s="208"/>
      <c r="G14" s="208">
        <f>SUM(G9:G13)</f>
        <v>9.795888323972568E-2</v>
      </c>
    </row>
    <row r="15" spans="2:8" s="37" customFormat="1" ht="30" customHeight="1" x14ac:dyDescent="0.25">
      <c r="B15" s="409" t="s">
        <v>126</v>
      </c>
      <c r="C15" s="409"/>
      <c r="D15" s="409"/>
      <c r="E15" s="409"/>
      <c r="F15" s="410"/>
      <c r="G15" s="209">
        <f>SUM(G9:G13)</f>
        <v>9.795888323972568E-2</v>
      </c>
    </row>
    <row r="16" spans="2:8" s="37" customFormat="1" ht="30" customHeight="1" x14ac:dyDescent="0.2">
      <c r="B16" s="70" t="s">
        <v>127</v>
      </c>
      <c r="D16" s="1"/>
      <c r="E16" s="251">
        <f>SUM(E11:E12)</f>
        <v>0.34552844088128587</v>
      </c>
      <c r="F16" s="168"/>
      <c r="G16" s="1"/>
    </row>
    <row r="17" spans="1:12" s="1" customFormat="1" ht="14.25" x14ac:dyDescent="0.2"/>
    <row r="18" spans="1:12" x14ac:dyDescent="0.25">
      <c r="B18" s="406" t="s">
        <v>128</v>
      </c>
      <c r="C18" s="407"/>
      <c r="I18" s="31"/>
      <c r="J18" s="31"/>
      <c r="K18" s="31"/>
      <c r="L18" s="31"/>
    </row>
    <row r="19" spans="1:12" x14ac:dyDescent="0.25">
      <c r="A19" s="37"/>
      <c r="B19" s="199" t="s">
        <v>129</v>
      </c>
      <c r="C19" s="204">
        <f>+G15</f>
        <v>9.795888323972568E-2</v>
      </c>
      <c r="D19" s="37"/>
      <c r="E19" s="37"/>
      <c r="F19" s="37"/>
      <c r="G19" s="37"/>
      <c r="I19" s="31"/>
      <c r="L19" s="31"/>
    </row>
    <row r="20" spans="1:12" x14ac:dyDescent="0.25">
      <c r="A20" s="37"/>
      <c r="B20" s="199" t="s">
        <v>130</v>
      </c>
      <c r="C20" s="204">
        <v>1.6299999999999999E-2</v>
      </c>
      <c r="D20" s="37"/>
      <c r="E20" s="37"/>
      <c r="F20" s="37"/>
      <c r="G20" s="37"/>
      <c r="I20" s="32"/>
      <c r="L20" s="31"/>
    </row>
    <row r="21" spans="1:12" ht="30" x14ac:dyDescent="0.25">
      <c r="A21" s="37"/>
      <c r="B21" s="231" t="s">
        <v>131</v>
      </c>
      <c r="C21" s="232">
        <f>C19-C20</f>
        <v>8.1658883239725685E-2</v>
      </c>
      <c r="D21" s="37"/>
      <c r="E21" s="37"/>
      <c r="F21" s="37"/>
      <c r="G21" s="37"/>
    </row>
    <row r="22" spans="1:12" x14ac:dyDescent="0.25">
      <c r="B22" s="233"/>
      <c r="C22" s="233"/>
    </row>
    <row r="23" spans="1:12" x14ac:dyDescent="0.25">
      <c r="B23" s="404" t="s">
        <v>132</v>
      </c>
      <c r="C23" s="405"/>
    </row>
    <row r="24" spans="1:12" ht="18" x14ac:dyDescent="0.25">
      <c r="B24" s="199" t="s">
        <v>133</v>
      </c>
      <c r="C24" s="198">
        <f>+'RTA 2021'!D21</f>
        <v>4.5945440172363687</v>
      </c>
    </row>
    <row r="25" spans="1:12" ht="18" x14ac:dyDescent="0.25">
      <c r="B25" s="199" t="s">
        <v>134</v>
      </c>
      <c r="C25" s="198">
        <f>C24*(1+C21)</f>
        <v>4.9697293506796534</v>
      </c>
    </row>
    <row r="27" spans="1:12" x14ac:dyDescent="0.25">
      <c r="C27" s="83"/>
    </row>
    <row r="28" spans="1:12" x14ac:dyDescent="0.25">
      <c r="B28" s="145"/>
      <c r="C28" s="146"/>
    </row>
    <row r="29" spans="1:12" x14ac:dyDescent="0.25">
      <c r="B29" s="145"/>
      <c r="C29" s="147"/>
    </row>
    <row r="30" spans="1:12" x14ac:dyDescent="0.25">
      <c r="B30" s="145"/>
      <c r="C30" s="146"/>
    </row>
    <row r="31" spans="1:12" x14ac:dyDescent="0.25">
      <c r="B31" s="145"/>
      <c r="C31" s="148"/>
    </row>
    <row r="37" spans="4:4" x14ac:dyDescent="0.25">
      <c r="D37" s="85" t="s">
        <v>135</v>
      </c>
    </row>
    <row r="38" spans="4:4" x14ac:dyDescent="0.25">
      <c r="D38" s="85" t="s">
        <v>136</v>
      </c>
    </row>
    <row r="39" spans="4:4" x14ac:dyDescent="0.25">
      <c r="D39" s="85" t="s">
        <v>137</v>
      </c>
    </row>
    <row r="40" spans="4:4" x14ac:dyDescent="0.25">
      <c r="D40" s="85" t="s">
        <v>138</v>
      </c>
    </row>
    <row r="41" spans="4:4" x14ac:dyDescent="0.25">
      <c r="D41" s="85" t="s">
        <v>139</v>
      </c>
    </row>
  </sheetData>
  <mergeCells count="5">
    <mergeCell ref="B18:C18"/>
    <mergeCell ref="B23:C23"/>
    <mergeCell ref="B7:G7"/>
    <mergeCell ref="C3:G3"/>
    <mergeCell ref="B15:F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D424-1D99-4E1C-A73A-D3E1BA14DB4D}">
  <sheetPr>
    <tabColor rgb="FF002060"/>
  </sheetPr>
  <dimension ref="B2:AA41"/>
  <sheetViews>
    <sheetView showGridLines="0" topLeftCell="A19" zoomScale="110" zoomScaleNormal="110" workbookViewId="0">
      <selection activeCell="J10" sqref="J10"/>
    </sheetView>
  </sheetViews>
  <sheetFormatPr defaultRowHeight="15" x14ac:dyDescent="0.25"/>
  <cols>
    <col min="1" max="1" width="6" customWidth="1"/>
    <col min="2" max="2" width="15.7109375" customWidth="1"/>
    <col min="3" max="3" width="16" customWidth="1"/>
    <col min="4" max="4" width="6.28515625" customWidth="1"/>
    <col min="5" max="5" width="16" style="42" customWidth="1"/>
    <col min="6" max="7" width="12.5703125" customWidth="1"/>
    <col min="8" max="9" width="15.140625" bestFit="1" customWidth="1"/>
    <col min="10" max="10" width="11.85546875" customWidth="1"/>
    <col min="11" max="11" width="5.85546875" customWidth="1"/>
    <col min="12" max="12" width="26.7109375" customWidth="1"/>
    <col min="13" max="13" width="3.7109375" customWidth="1"/>
    <col min="14" max="14" width="7.140625" customWidth="1"/>
    <col min="15" max="28" width="17.5703125" customWidth="1"/>
    <col min="29" max="29" width="13.28515625" bestFit="1" customWidth="1"/>
    <col min="30" max="30" width="14.28515625" bestFit="1" customWidth="1"/>
  </cols>
  <sheetData>
    <row r="2" spans="2:27" ht="18" x14ac:dyDescent="0.25">
      <c r="E2" s="379" t="s">
        <v>305</v>
      </c>
      <c r="F2" s="379"/>
      <c r="G2" s="379"/>
      <c r="H2" s="379"/>
      <c r="I2" s="379"/>
      <c r="J2" s="379"/>
    </row>
    <row r="5" spans="2:27" x14ac:dyDescent="0.25">
      <c r="E5" s="443">
        <v>2020</v>
      </c>
      <c r="F5" s="443"/>
      <c r="G5" s="443"/>
      <c r="H5" s="443"/>
      <c r="I5" s="443"/>
      <c r="J5" s="443"/>
      <c r="L5" s="445" t="s">
        <v>140</v>
      </c>
      <c r="M5" s="419" t="str">
        <f>UPPER("UN")</f>
        <v>UN</v>
      </c>
      <c r="N5" s="420"/>
      <c r="O5" s="440">
        <v>2020</v>
      </c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2"/>
    </row>
    <row r="6" spans="2:27" x14ac:dyDescent="0.25">
      <c r="E6" s="43" t="s">
        <v>141</v>
      </c>
      <c r="F6" s="43" t="s">
        <v>142</v>
      </c>
      <c r="G6" s="43" t="s">
        <v>143</v>
      </c>
      <c r="H6" s="43" t="s">
        <v>144</v>
      </c>
      <c r="I6" s="43" t="s">
        <v>145</v>
      </c>
      <c r="J6" s="235" t="s">
        <v>146</v>
      </c>
      <c r="K6" s="116"/>
      <c r="L6" s="445"/>
      <c r="M6" s="421"/>
      <c r="N6" s="422"/>
      <c r="O6" s="50" t="s">
        <v>147</v>
      </c>
      <c r="P6" s="50" t="s">
        <v>148</v>
      </c>
      <c r="Q6" s="50" t="s">
        <v>149</v>
      </c>
      <c r="R6" s="50" t="s">
        <v>150</v>
      </c>
      <c r="S6" s="50" t="s">
        <v>151</v>
      </c>
      <c r="T6" s="50" t="s">
        <v>152</v>
      </c>
      <c r="U6" s="50" t="s">
        <v>153</v>
      </c>
      <c r="V6" s="50" t="s">
        <v>154</v>
      </c>
      <c r="W6" s="50" t="s">
        <v>155</v>
      </c>
      <c r="X6" s="50" t="s">
        <v>156</v>
      </c>
      <c r="Y6" s="50" t="s">
        <v>157</v>
      </c>
      <c r="Z6" s="50" t="s">
        <v>158</v>
      </c>
      <c r="AA6" s="50" t="s">
        <v>159</v>
      </c>
    </row>
    <row r="7" spans="2:27" ht="15" customHeight="1" x14ac:dyDescent="0.25">
      <c r="E7" s="234" t="s">
        <v>160</v>
      </c>
      <c r="F7" s="238">
        <f>+O$19</f>
        <v>5673695.2194244694</v>
      </c>
      <c r="G7" s="238">
        <f t="shared" ref="G7:G18" si="0">$C$12*H7</f>
        <v>6594814.1061661094</v>
      </c>
      <c r="H7" s="79">
        <f>Volume_2020!D116</f>
        <v>27642589</v>
      </c>
      <c r="I7" s="175">
        <f>Indices_2021!D21/Indices_2021!D10-1</f>
        <v>4.2984795795491637E-2</v>
      </c>
      <c r="J7" s="236">
        <f>(F7-G7)*(1+I7)</f>
        <v>-960712.9939916</v>
      </c>
      <c r="K7" s="258"/>
      <c r="L7" s="45" t="s">
        <v>161</v>
      </c>
      <c r="M7" s="423" t="s">
        <v>162</v>
      </c>
      <c r="N7" s="424"/>
      <c r="O7" s="137">
        <v>140792412.06999999</v>
      </c>
      <c r="P7" s="137">
        <v>139483900.99000001</v>
      </c>
      <c r="Q7" s="137">
        <v>158191125.40000001</v>
      </c>
      <c r="R7" s="137">
        <v>143871377.93000001</v>
      </c>
      <c r="S7" s="138">
        <v>134339307.69</v>
      </c>
      <c r="T7" s="137">
        <v>138100001.62</v>
      </c>
      <c r="U7" s="137">
        <v>145876230.53</v>
      </c>
      <c r="V7" s="137">
        <v>152955326.68000001</v>
      </c>
      <c r="W7" s="137">
        <v>158079136.36000001</v>
      </c>
      <c r="X7" s="137">
        <v>161639104.38999999</v>
      </c>
      <c r="Y7" s="137">
        <v>146670452.52000001</v>
      </c>
      <c r="Z7" s="137">
        <v>151511808.63999999</v>
      </c>
      <c r="AA7" s="137">
        <f>SUM(O7:Z7)</f>
        <v>1771510184.8199997</v>
      </c>
    </row>
    <row r="8" spans="2:27" ht="15" customHeight="1" x14ac:dyDescent="0.25">
      <c r="E8" s="234" t="s">
        <v>163</v>
      </c>
      <c r="F8" s="238">
        <f>P$19</f>
        <v>5409382.5863255886</v>
      </c>
      <c r="G8" s="238">
        <f t="shared" si="0"/>
        <v>6601146.3479111167</v>
      </c>
      <c r="H8" s="79">
        <f>Volume_2020!E$116</f>
        <v>27669131</v>
      </c>
      <c r="I8" s="175">
        <f>Indices_2021!D21/Indices_2021!D11-1</f>
        <v>4.038355395481541E-2</v>
      </c>
      <c r="J8" s="236">
        <f t="shared" ref="J8:J18" si="1">(F8-G8)*(1+I8)</f>
        <v>-1239891.4177529109</v>
      </c>
      <c r="K8" s="258"/>
      <c r="L8" s="51" t="s">
        <v>164</v>
      </c>
      <c r="M8" s="425" t="s">
        <v>165</v>
      </c>
      <c r="N8" s="426"/>
      <c r="O8" s="107">
        <v>20769120</v>
      </c>
      <c r="P8" s="107">
        <v>19551398</v>
      </c>
      <c r="Q8" s="107">
        <v>21014761</v>
      </c>
      <c r="R8" s="107">
        <v>19970175</v>
      </c>
      <c r="S8" s="107">
        <v>20833763</v>
      </c>
      <c r="T8" s="107">
        <v>20464034</v>
      </c>
      <c r="U8" s="107">
        <v>21394985</v>
      </c>
      <c r="V8" s="107">
        <v>21721993</v>
      </c>
      <c r="W8" s="107">
        <v>21697413</v>
      </c>
      <c r="X8" s="107">
        <v>22408351</v>
      </c>
      <c r="Y8" s="107">
        <v>20317685</v>
      </c>
      <c r="Z8" s="107">
        <v>21561021</v>
      </c>
      <c r="AA8" s="59">
        <f t="shared" ref="AA8:AA16" si="2">SUM(O8:Z8)</f>
        <v>251704699</v>
      </c>
    </row>
    <row r="9" spans="2:27" ht="15" customHeight="1" x14ac:dyDescent="0.25">
      <c r="B9" s="443" t="s">
        <v>166</v>
      </c>
      <c r="C9" s="443"/>
      <c r="E9" s="106" t="s">
        <v>167</v>
      </c>
      <c r="F9" s="79">
        <f>+Q$19</f>
        <v>6467809.5969318729</v>
      </c>
      <c r="G9" s="79">
        <f t="shared" si="0"/>
        <v>6711732.5013216045</v>
      </c>
      <c r="H9" s="79">
        <f>Volume_2020!F$116</f>
        <v>28132660</v>
      </c>
      <c r="I9" s="175">
        <f>Indices_2021!D21/Indices_2021!D12-1</f>
        <v>3.9656052455926849E-2</v>
      </c>
      <c r="J9" s="236">
        <f t="shared" si="1"/>
        <v>-253595.9238814128</v>
      </c>
      <c r="K9" s="258"/>
      <c r="L9" s="51" t="s">
        <v>168</v>
      </c>
      <c r="M9" s="425" t="s">
        <v>165</v>
      </c>
      <c r="N9" s="426"/>
      <c r="O9" s="107">
        <v>12731821</v>
      </c>
      <c r="P9" s="107">
        <v>12302868</v>
      </c>
      <c r="Q9" s="107">
        <v>13741504</v>
      </c>
      <c r="R9" s="107">
        <v>12389385</v>
      </c>
      <c r="S9" s="107">
        <v>11499499</v>
      </c>
      <c r="T9" s="107">
        <v>10745762</v>
      </c>
      <c r="U9" s="107">
        <v>10859147</v>
      </c>
      <c r="V9" s="107">
        <v>10598607</v>
      </c>
      <c r="W9" s="107">
        <v>10099065</v>
      </c>
      <c r="X9" s="107">
        <v>11581715</v>
      </c>
      <c r="Y9" s="107">
        <v>11602541</v>
      </c>
      <c r="Z9" s="107">
        <v>12058129</v>
      </c>
      <c r="AA9" s="59">
        <f>SUM(O9:Z9)</f>
        <v>140210043</v>
      </c>
    </row>
    <row r="10" spans="2:27" ht="15" customHeight="1" x14ac:dyDescent="0.25">
      <c r="B10" s="257" t="s">
        <v>146</v>
      </c>
      <c r="C10" s="86">
        <f>+J19+I34</f>
        <v>-29423676.225332055</v>
      </c>
      <c r="E10" s="234" t="s">
        <v>169</v>
      </c>
      <c r="F10" s="238">
        <f>+R$19</f>
        <v>5509628.7704795748</v>
      </c>
      <c r="G10" s="238">
        <f t="shared" si="0"/>
        <v>6821012.2213135241</v>
      </c>
      <c r="H10" s="79">
        <f>Volume_2020!G$116</f>
        <v>28590713</v>
      </c>
      <c r="I10" s="175">
        <f>Indices_2021!D21/Indices_2021!D13-1</f>
        <v>4.2888945987460403E-2</v>
      </c>
      <c r="J10" s="236">
        <f t="shared" si="1"/>
        <v>-1367627.3048256158</v>
      </c>
      <c r="K10" s="258"/>
      <c r="L10" s="170" t="s">
        <v>170</v>
      </c>
      <c r="M10" s="427" t="s">
        <v>165</v>
      </c>
      <c r="N10" s="428"/>
      <c r="O10" s="171">
        <f>SUM(O8:O9)</f>
        <v>33500941</v>
      </c>
      <c r="P10" s="171">
        <f t="shared" ref="P10:AA10" si="3">SUM(P8:P9)</f>
        <v>31854266</v>
      </c>
      <c r="Q10" s="171">
        <f t="shared" si="3"/>
        <v>34756265</v>
      </c>
      <c r="R10" s="171">
        <f t="shared" si="3"/>
        <v>32359560</v>
      </c>
      <c r="S10" s="171">
        <f t="shared" si="3"/>
        <v>32333262</v>
      </c>
      <c r="T10" s="171">
        <f t="shared" si="3"/>
        <v>31209796</v>
      </c>
      <c r="U10" s="171">
        <f t="shared" si="3"/>
        <v>32254132</v>
      </c>
      <c r="V10" s="171">
        <f t="shared" si="3"/>
        <v>32320600</v>
      </c>
      <c r="W10" s="171">
        <f t="shared" si="3"/>
        <v>31796478</v>
      </c>
      <c r="X10" s="171">
        <f t="shared" si="3"/>
        <v>33990066</v>
      </c>
      <c r="Y10" s="171">
        <f t="shared" si="3"/>
        <v>31920226</v>
      </c>
      <c r="Z10" s="171">
        <f t="shared" si="3"/>
        <v>33619150</v>
      </c>
      <c r="AA10" s="171">
        <f t="shared" si="3"/>
        <v>391914742</v>
      </c>
    </row>
    <row r="11" spans="2:27" ht="15" customHeight="1" x14ac:dyDescent="0.25">
      <c r="B11" s="257" t="s">
        <v>144</v>
      </c>
      <c r="C11" s="86">
        <f>+H19</f>
        <v>310178826.31999999</v>
      </c>
      <c r="E11" s="234" t="s">
        <v>171</v>
      </c>
      <c r="F11" s="238">
        <f>+S$19</f>
        <v>5271636.6425641049</v>
      </c>
      <c r="G11" s="238">
        <f t="shared" si="0"/>
        <v>6595049.65544347</v>
      </c>
      <c r="H11" s="79">
        <f>Volume_2020!H$116</f>
        <v>27643576.32</v>
      </c>
      <c r="I11" s="175">
        <f>Indices_2021!D21/Indices_2021!D14-1</f>
        <v>4.6866792804495905E-2</v>
      </c>
      <c r="J11" s="236">
        <f t="shared" si="1"/>
        <v>-1385437.136348756</v>
      </c>
      <c r="K11" s="258"/>
      <c r="L11" s="52" t="s">
        <v>172</v>
      </c>
      <c r="M11" s="411" t="s">
        <v>165</v>
      </c>
      <c r="N11" s="413"/>
      <c r="O11" s="107">
        <f>Volume_2020!D52</f>
        <v>15123844</v>
      </c>
      <c r="P11" s="107">
        <f>Volume_2020!E52</f>
        <v>14890003</v>
      </c>
      <c r="Q11" s="107">
        <f>Volume_2020!F52</f>
        <v>15134843</v>
      </c>
      <c r="R11" s="107">
        <f>Volume_2020!G52</f>
        <v>15399921</v>
      </c>
      <c r="S11" s="107">
        <f>Volume_2020!H52</f>
        <v>14922068</v>
      </c>
      <c r="T11" s="107">
        <f>Volume_2020!J52</f>
        <v>12426955</v>
      </c>
      <c r="U11" s="107">
        <f>Volume_2020!K52</f>
        <v>12931372</v>
      </c>
      <c r="V11" s="107">
        <f>Volume_2020!L52</f>
        <v>13425746</v>
      </c>
      <c r="W11" s="107">
        <f>Volume_2020!M52</f>
        <v>13649624</v>
      </c>
      <c r="X11" s="107">
        <f>Volume_2020!N52</f>
        <v>13923730</v>
      </c>
      <c r="Y11" s="107">
        <f>Volume_2020!O52</f>
        <v>12813471</v>
      </c>
      <c r="Z11" s="107">
        <f>Volume_2020!P52</f>
        <v>13039997</v>
      </c>
      <c r="AA11" s="159">
        <f>SUM(O11:Z11)</f>
        <v>167681574</v>
      </c>
    </row>
    <row r="12" spans="2:27" ht="15" customHeight="1" x14ac:dyDescent="0.35">
      <c r="B12" s="257" t="s">
        <v>175</v>
      </c>
      <c r="C12" s="61">
        <f>AA19/C11</f>
        <v>0.23857440076130748</v>
      </c>
      <c r="E12" s="234" t="s">
        <v>173</v>
      </c>
      <c r="F12" s="238">
        <f>+T$19</f>
        <v>6077148.9321160261</v>
      </c>
      <c r="G12" s="238">
        <f t="shared" si="0"/>
        <v>5474022.8246359872</v>
      </c>
      <c r="H12" s="79">
        <f>Volume_2020!J$116</f>
        <v>22944720</v>
      </c>
      <c r="I12" s="175">
        <f>Indices_2021!D21/Indices_2021!D15-1</f>
        <v>4.4152054470411928E-2</v>
      </c>
      <c r="J12" s="236">
        <f t="shared" si="1"/>
        <v>629755.36423002509</v>
      </c>
      <c r="K12" s="258"/>
      <c r="L12" s="52" t="s">
        <v>174</v>
      </c>
      <c r="M12" s="411" t="s">
        <v>165</v>
      </c>
      <c r="N12" s="413"/>
      <c r="O12" s="107">
        <f>Volume_2020!D84</f>
        <v>12518745</v>
      </c>
      <c r="P12" s="107">
        <f>Volume_2020!E84</f>
        <v>12779128</v>
      </c>
      <c r="Q12" s="107">
        <f>Volume_2020!F84</f>
        <v>12997817</v>
      </c>
      <c r="R12" s="107">
        <f>Volume_2020!G84</f>
        <v>13190792</v>
      </c>
      <c r="S12" s="107">
        <f>Volume_2020!H84</f>
        <v>12721508.32</v>
      </c>
      <c r="T12" s="107">
        <f>Volume_2020!J84</f>
        <v>10517765</v>
      </c>
      <c r="U12" s="107">
        <f>Volume_2020!K84</f>
        <v>10918870</v>
      </c>
      <c r="V12" s="107">
        <f>Volume_2020!L84</f>
        <v>11319944</v>
      </c>
      <c r="W12" s="107">
        <f>Volume_2020!M84</f>
        <v>11520198</v>
      </c>
      <c r="X12" s="107">
        <f>Volume_2020!N84</f>
        <v>11808919</v>
      </c>
      <c r="Y12" s="107">
        <f>Volume_2020!O84</f>
        <v>10996002</v>
      </c>
      <c r="Z12" s="107">
        <f>Volume_2020!P84</f>
        <v>11207564</v>
      </c>
      <c r="AA12" s="159">
        <f t="shared" si="2"/>
        <v>142497252.31999999</v>
      </c>
    </row>
    <row r="13" spans="2:27" ht="15" customHeight="1" x14ac:dyDescent="0.25">
      <c r="B13" s="259" t="s">
        <v>264</v>
      </c>
      <c r="C13" s="86">
        <f>Volume_2020!Q31+Volume_2020!R31+Volume_2020!Q40+Volume_2020!R40+Volume_2020!Q65+Volume_2020!R65+Volume_2020!Q74+Volume_2020!R74</f>
        <v>268519626.38999999</v>
      </c>
      <c r="E13" s="234" t="s">
        <v>176</v>
      </c>
      <c r="F13" s="238">
        <f>+U$19</f>
        <v>6390694.6470945301</v>
      </c>
      <c r="G13" s="238">
        <f t="shared" si="0"/>
        <v>5690057.1931621674</v>
      </c>
      <c r="H13" s="79">
        <f>Volume_2020!K$116</f>
        <v>23850242</v>
      </c>
      <c r="I13" s="175">
        <f>Indices_2021!D21/Indices_2021!D16-1</f>
        <v>4.0406913107174924E-2</v>
      </c>
      <c r="J13" s="236">
        <f t="shared" si="1"/>
        <v>728948.05065303983</v>
      </c>
      <c r="K13" s="258"/>
      <c r="L13" s="46" t="s">
        <v>177</v>
      </c>
      <c r="M13" s="427" t="s">
        <v>165</v>
      </c>
      <c r="N13" s="428"/>
      <c r="O13" s="171">
        <f>SUM(O11:O12)</f>
        <v>27642589</v>
      </c>
      <c r="P13" s="171">
        <f>SUM(P11:P12)</f>
        <v>27669131</v>
      </c>
      <c r="Q13" s="171">
        <f t="shared" ref="Q13:AA13" si="4">Q11+Q12</f>
        <v>28132660</v>
      </c>
      <c r="R13" s="171">
        <f t="shared" si="4"/>
        <v>28590713</v>
      </c>
      <c r="S13" s="171">
        <f t="shared" si="4"/>
        <v>27643576.32</v>
      </c>
      <c r="T13" s="171">
        <f t="shared" si="4"/>
        <v>22944720</v>
      </c>
      <c r="U13" s="171">
        <f t="shared" si="4"/>
        <v>23850242</v>
      </c>
      <c r="V13" s="171">
        <f t="shared" si="4"/>
        <v>24745690</v>
      </c>
      <c r="W13" s="171">
        <f t="shared" si="4"/>
        <v>25169822</v>
      </c>
      <c r="X13" s="171">
        <f t="shared" si="4"/>
        <v>25732649</v>
      </c>
      <c r="Y13" s="171">
        <f t="shared" si="4"/>
        <v>23809473</v>
      </c>
      <c r="Z13" s="171">
        <f t="shared" si="4"/>
        <v>24247561</v>
      </c>
      <c r="AA13" s="171">
        <f t="shared" si="4"/>
        <v>310178826.31999999</v>
      </c>
    </row>
    <row r="14" spans="2:27" ht="15" customHeight="1" x14ac:dyDescent="0.25">
      <c r="E14" s="234" t="s">
        <v>178</v>
      </c>
      <c r="F14" s="238">
        <f>V$19</f>
        <v>6523966.3661049791</v>
      </c>
      <c r="G14" s="238">
        <f t="shared" si="0"/>
        <v>5903688.163175079</v>
      </c>
      <c r="H14" s="79">
        <f>Volume_2020!L$116</f>
        <v>24745690</v>
      </c>
      <c r="I14" s="175">
        <f>Indices_2021!D21/Indices_2021!D17-1</f>
        <v>3.7915355410959695E-2</v>
      </c>
      <c r="J14" s="236">
        <f t="shared" si="1"/>
        <v>643796.27144765854</v>
      </c>
      <c r="K14" s="258"/>
      <c r="L14" s="46" t="s">
        <v>179</v>
      </c>
      <c r="M14" s="427" t="s">
        <v>180</v>
      </c>
      <c r="N14" s="428"/>
      <c r="O14" s="60">
        <f>O7/O13</f>
        <v>5.0933149593911047</v>
      </c>
      <c r="P14" s="60">
        <f t="shared" ref="P14:AA14" si="5">P7/P13</f>
        <v>5.0411377570911071</v>
      </c>
      <c r="Q14" s="60">
        <f t="shared" si="5"/>
        <v>5.6230418808601819</v>
      </c>
      <c r="R14" s="60">
        <f t="shared" si="5"/>
        <v>5.0321017852895098</v>
      </c>
      <c r="S14" s="60">
        <f t="shared" si="5"/>
        <v>4.859693483031938</v>
      </c>
      <c r="T14" s="60">
        <f t="shared" si="5"/>
        <v>6.018813985091124</v>
      </c>
      <c r="U14" s="60">
        <f t="shared" si="5"/>
        <v>6.1163417348134246</v>
      </c>
      <c r="V14" s="60">
        <f>V7/V13</f>
        <v>6.1810895828728158</v>
      </c>
      <c r="W14" s="60">
        <f t="shared" si="5"/>
        <v>6.2805027528601522</v>
      </c>
      <c r="X14" s="60">
        <f t="shared" si="5"/>
        <v>6.2814793918029963</v>
      </c>
      <c r="Y14" s="60">
        <f t="shared" si="5"/>
        <v>6.1601721516473722</v>
      </c>
      <c r="Z14" s="60">
        <f t="shared" si="5"/>
        <v>6.2485380958521963</v>
      </c>
      <c r="AA14" s="60">
        <f t="shared" si="5"/>
        <v>5.7112543942390133</v>
      </c>
    </row>
    <row r="15" spans="2:27" ht="15" customHeight="1" x14ac:dyDescent="0.25">
      <c r="B15" s="157"/>
      <c r="C15" s="158"/>
      <c r="E15" s="234" t="s">
        <v>181</v>
      </c>
      <c r="F15" s="238">
        <f>W$19</f>
        <v>6573238.0538564324</v>
      </c>
      <c r="G15" s="238">
        <f t="shared" si="0"/>
        <v>6004875.2009187741</v>
      </c>
      <c r="H15" s="79">
        <f>Volume_2020!M$116</f>
        <v>25169822</v>
      </c>
      <c r="I15" s="175">
        <f>Indices_2021!D21/Indices_2021!D18-1</f>
        <v>3.1314508276533592E-2</v>
      </c>
      <c r="J15" s="236">
        <f t="shared" si="1"/>
        <v>586160.85620004882</v>
      </c>
      <c r="K15" s="258"/>
      <c r="L15" s="53" t="s">
        <v>182</v>
      </c>
      <c r="M15" s="433" t="s">
        <v>162</v>
      </c>
      <c r="N15" s="434"/>
      <c r="O15" s="160">
        <f>O7</f>
        <v>140792412.06999999</v>
      </c>
      <c r="P15" s="160">
        <f t="shared" ref="P15:Y15" si="6">P7</f>
        <v>139483900.99000001</v>
      </c>
      <c r="Q15" s="160">
        <f t="shared" si="6"/>
        <v>158191125.40000001</v>
      </c>
      <c r="R15" s="160">
        <f t="shared" si="6"/>
        <v>143871377.93000001</v>
      </c>
      <c r="S15" s="160">
        <f t="shared" si="6"/>
        <v>134339307.69</v>
      </c>
      <c r="T15" s="160">
        <f t="shared" si="6"/>
        <v>138100001.62</v>
      </c>
      <c r="U15" s="160">
        <f t="shared" si="6"/>
        <v>145876230.53</v>
      </c>
      <c r="V15" s="160">
        <f t="shared" si="6"/>
        <v>152955326.68000001</v>
      </c>
      <c r="W15" s="160">
        <f t="shared" si="6"/>
        <v>158079136.36000001</v>
      </c>
      <c r="X15" s="160">
        <f t="shared" si="6"/>
        <v>161639104.38999999</v>
      </c>
      <c r="Y15" s="160">
        <f t="shared" si="6"/>
        <v>146670452.52000001</v>
      </c>
      <c r="Z15" s="160">
        <f>Z7</f>
        <v>151511808.63999999</v>
      </c>
      <c r="AA15" s="160">
        <f t="shared" si="2"/>
        <v>1771510184.8199997</v>
      </c>
    </row>
    <row r="16" spans="2:27" ht="15" customHeight="1" x14ac:dyDescent="0.25">
      <c r="C16" s="269"/>
      <c r="E16" s="234" t="s">
        <v>183</v>
      </c>
      <c r="F16" s="238">
        <f>X$19</f>
        <v>6954088.5215255935</v>
      </c>
      <c r="G16" s="238">
        <f t="shared" si="0"/>
        <v>6139151.3151760586</v>
      </c>
      <c r="H16" s="79">
        <f>Volume_2020!N$116</f>
        <v>25732649</v>
      </c>
      <c r="I16" s="175">
        <f>Indices_2021!D21/Indices_2021!D19-1</f>
        <v>2.2520650518929486E-2</v>
      </c>
      <c r="J16" s="236">
        <f t="shared" si="1"/>
        <v>833290.12236860546</v>
      </c>
      <c r="K16" s="258"/>
      <c r="L16" s="53" t="s">
        <v>184</v>
      </c>
      <c r="M16" s="433" t="s">
        <v>162</v>
      </c>
      <c r="N16" s="434"/>
      <c r="O16" s="160">
        <f>O10*O14</f>
        <v>170630843.94897878</v>
      </c>
      <c r="P16" s="160">
        <f t="shared" ref="P16:Y16" si="7">P10*P14</f>
        <v>160581743.05702353</v>
      </c>
      <c r="Q16" s="160">
        <f t="shared" si="7"/>
        <v>195435933.7172749</v>
      </c>
      <c r="R16" s="160">
        <f t="shared" si="7"/>
        <v>162836599.647183</v>
      </c>
      <c r="S16" s="160">
        <f t="shared" si="7"/>
        <v>157129742.6265642</v>
      </c>
      <c r="T16" s="160">
        <f t="shared" si="7"/>
        <v>187845956.63664103</v>
      </c>
      <c r="U16" s="160">
        <f t="shared" si="7"/>
        <v>197277293.67178118</v>
      </c>
      <c r="V16" s="160">
        <f t="shared" si="7"/>
        <v>199776523.97219914</v>
      </c>
      <c r="W16" s="160">
        <f t="shared" si="7"/>
        <v>199697867.61025727</v>
      </c>
      <c r="X16" s="160">
        <f t="shared" si="7"/>
        <v>213507899.10502371</v>
      </c>
      <c r="Y16" s="160">
        <f t="shared" si="7"/>
        <v>196634087.27949038</v>
      </c>
      <c r="Z16" s="160">
        <f>Z10*Z14</f>
        <v>210070539.52516937</v>
      </c>
      <c r="AA16" s="160">
        <f t="shared" si="2"/>
        <v>2251425030.7975864</v>
      </c>
    </row>
    <row r="17" spans="2:27" ht="15" customHeight="1" x14ac:dyDescent="0.25">
      <c r="C17" s="174"/>
      <c r="E17" s="234" t="s">
        <v>185</v>
      </c>
      <c r="F17" s="238">
        <f>Y$19</f>
        <v>6382556.7071872596</v>
      </c>
      <c r="G17" s="238">
        <f t="shared" si="0"/>
        <v>5680330.7534175301</v>
      </c>
      <c r="H17" s="79">
        <f>Volume_2020!O$116</f>
        <v>23809473</v>
      </c>
      <c r="I17" s="175">
        <f>Indices_2021!D21/Indices_2021!D20-1</f>
        <v>1.3500360884495022E-2</v>
      </c>
      <c r="J17" s="236">
        <f t="shared" si="1"/>
        <v>711706.25756807951</v>
      </c>
      <c r="K17" s="258"/>
      <c r="L17" s="49" t="s">
        <v>186</v>
      </c>
      <c r="M17" s="431" t="s">
        <v>162</v>
      </c>
      <c r="N17" s="432"/>
      <c r="O17" s="161">
        <f t="shared" ref="O17:Y17" si="8">(O10*O14)*2.5%</f>
        <v>4265771.0987244695</v>
      </c>
      <c r="P17" s="161">
        <f t="shared" si="8"/>
        <v>4014543.5764255882</v>
      </c>
      <c r="Q17" s="161">
        <f t="shared" si="8"/>
        <v>4885898.3429318732</v>
      </c>
      <c r="R17" s="161">
        <f t="shared" si="8"/>
        <v>4070914.9911795752</v>
      </c>
      <c r="S17" s="161">
        <f t="shared" si="8"/>
        <v>3928243.5656641051</v>
      </c>
      <c r="T17" s="161">
        <f t="shared" si="8"/>
        <v>4696148.9159160256</v>
      </c>
      <c r="U17" s="161">
        <f t="shared" si="8"/>
        <v>4931932.3417945299</v>
      </c>
      <c r="V17" s="161">
        <f t="shared" si="8"/>
        <v>4994413.0993049787</v>
      </c>
      <c r="W17" s="161">
        <f t="shared" si="8"/>
        <v>4992446.6902564317</v>
      </c>
      <c r="X17" s="161">
        <f t="shared" si="8"/>
        <v>5337697.4776255935</v>
      </c>
      <c r="Y17" s="161">
        <f t="shared" si="8"/>
        <v>4915852.1819872595</v>
      </c>
      <c r="Z17" s="161">
        <f>(Z10*Z14)*2.5%</f>
        <v>5251763.4881292349</v>
      </c>
      <c r="AA17" s="162">
        <f>SUM(O17:Z17)</f>
        <v>56285625.769939668</v>
      </c>
    </row>
    <row r="18" spans="2:27" ht="15" customHeight="1" x14ac:dyDescent="0.25">
      <c r="E18" s="234" t="s">
        <v>187</v>
      </c>
      <c r="F18" s="238">
        <f>Z$19</f>
        <v>6766881.5745292343</v>
      </c>
      <c r="G18" s="238">
        <f t="shared" si="0"/>
        <v>5784847.3354982492</v>
      </c>
      <c r="H18" s="79">
        <f>Volume_2020!P$116</f>
        <v>24247561</v>
      </c>
      <c r="I18" s="175">
        <f>Indices_2021!D21/Indices_2021!D21-1</f>
        <v>0</v>
      </c>
      <c r="J18" s="236">
        <f t="shared" si="1"/>
        <v>982034.23903098516</v>
      </c>
      <c r="K18" s="258"/>
      <c r="L18" s="54" t="s">
        <v>188</v>
      </c>
      <c r="M18" s="429" t="s">
        <v>162</v>
      </c>
      <c r="N18" s="430"/>
      <c r="O18" s="163">
        <f t="shared" ref="O18:Y18" si="9">(O13*O14)*1%</f>
        <v>1407924.1206999999</v>
      </c>
      <c r="P18" s="163">
        <f t="shared" si="9"/>
        <v>1394839.0099000002</v>
      </c>
      <c r="Q18" s="163">
        <f t="shared" si="9"/>
        <v>1581911.2540000002</v>
      </c>
      <c r="R18" s="163">
        <f t="shared" si="9"/>
        <v>1438713.7793000001</v>
      </c>
      <c r="S18" s="163">
        <f t="shared" si="9"/>
        <v>1343393.0769</v>
      </c>
      <c r="T18" s="163">
        <f t="shared" si="9"/>
        <v>1381000.0162000002</v>
      </c>
      <c r="U18" s="163">
        <f t="shared" si="9"/>
        <v>1458762.3053000001</v>
      </c>
      <c r="V18" s="163">
        <f t="shared" si="9"/>
        <v>1529553.2668000001</v>
      </c>
      <c r="W18" s="163">
        <f t="shared" si="9"/>
        <v>1580791.3636000003</v>
      </c>
      <c r="X18" s="163">
        <f t="shared" si="9"/>
        <v>1616391.0438999999</v>
      </c>
      <c r="Y18" s="163">
        <f t="shared" si="9"/>
        <v>1466704.5252</v>
      </c>
      <c r="Z18" s="163">
        <f>(Z13*Z14)*1%</f>
        <v>1515118.0863999999</v>
      </c>
      <c r="AA18" s="164">
        <f>SUM(O18:Z18)</f>
        <v>17715101.848200001</v>
      </c>
    </row>
    <row r="19" spans="2:27" x14ac:dyDescent="0.25">
      <c r="C19" s="252"/>
      <c r="E19" s="257" t="s">
        <v>159</v>
      </c>
      <c r="F19" s="80">
        <f>SUM(F7:F18)</f>
        <v>74000727.618139669</v>
      </c>
      <c r="G19" s="80">
        <f>SUM(G7:G18)</f>
        <v>74000727.618139669</v>
      </c>
      <c r="H19" s="80">
        <f>SUM(H7:H18)</f>
        <v>310178826.31999999</v>
      </c>
      <c r="I19" s="80"/>
      <c r="J19" s="237">
        <f>SUM(J7:J18)</f>
        <v>-91573.61530185258</v>
      </c>
      <c r="K19" s="116"/>
      <c r="L19" s="444" t="s">
        <v>32</v>
      </c>
      <c r="M19" s="444"/>
      <c r="N19" s="444"/>
      <c r="O19" s="165">
        <f>+O18+O17</f>
        <v>5673695.2194244694</v>
      </c>
      <c r="P19" s="165">
        <f>+P18+P17</f>
        <v>5409382.5863255886</v>
      </c>
      <c r="Q19" s="165">
        <f t="shared" ref="Q19:Y19" si="10">+Q18+Q17</f>
        <v>6467809.5969318729</v>
      </c>
      <c r="R19" s="165">
        <f t="shared" si="10"/>
        <v>5509628.7704795748</v>
      </c>
      <c r="S19" s="165">
        <f t="shared" si="10"/>
        <v>5271636.6425641049</v>
      </c>
      <c r="T19" s="165">
        <f t="shared" si="10"/>
        <v>6077148.9321160261</v>
      </c>
      <c r="U19" s="165">
        <f t="shared" si="10"/>
        <v>6390694.6470945301</v>
      </c>
      <c r="V19" s="165">
        <f t="shared" si="10"/>
        <v>6523966.3661049791</v>
      </c>
      <c r="W19" s="165">
        <f t="shared" si="10"/>
        <v>6573238.0538564324</v>
      </c>
      <c r="X19" s="165">
        <f t="shared" si="10"/>
        <v>6954088.5215255935</v>
      </c>
      <c r="Y19" s="165">
        <f t="shared" si="10"/>
        <v>6382556.7071872596</v>
      </c>
      <c r="Z19" s="165">
        <f>+Z18+Z17</f>
        <v>6766881.5745292343</v>
      </c>
      <c r="AA19" s="165">
        <f>+AA18+AA17</f>
        <v>74000727.618139669</v>
      </c>
    </row>
    <row r="20" spans="2:27" hidden="1" x14ac:dyDescent="0.25">
      <c r="E20" s="71" t="s">
        <v>189</v>
      </c>
      <c r="G20" s="29"/>
      <c r="J20" s="84"/>
      <c r="K20" s="116"/>
      <c r="L20" s="47"/>
      <c r="M20" s="47"/>
      <c r="N20" s="47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2:27" hidden="1" x14ac:dyDescent="0.25">
      <c r="E21" s="439" t="s">
        <v>190</v>
      </c>
      <c r="F21" s="439"/>
      <c r="G21" s="439"/>
      <c r="H21" s="439"/>
      <c r="I21" s="439"/>
      <c r="J21" s="439"/>
      <c r="L21" s="116"/>
      <c r="M21" s="116"/>
      <c r="N21" s="116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66"/>
    </row>
    <row r="22" spans="2:27" hidden="1" x14ac:dyDescent="0.25">
      <c r="E22" s="439"/>
      <c r="F22" s="439"/>
      <c r="G22" s="439"/>
      <c r="H22" s="439"/>
      <c r="I22" s="439"/>
      <c r="J22" s="439"/>
      <c r="L22" s="116"/>
      <c r="M22" s="116"/>
      <c r="N22" s="116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66"/>
    </row>
    <row r="23" spans="2:27" hidden="1" x14ac:dyDescent="0.25">
      <c r="E23" s="439" t="s">
        <v>191</v>
      </c>
      <c r="F23" s="439"/>
      <c r="G23" s="439"/>
      <c r="H23" s="439"/>
      <c r="I23" s="439"/>
      <c r="J23" s="439"/>
      <c r="L23" s="121"/>
      <c r="M23" s="121"/>
      <c r="N23" s="122"/>
      <c r="O23" s="116"/>
      <c r="P23" s="142"/>
      <c r="W23" s="105"/>
      <c r="X23" s="113"/>
      <c r="Y23" s="112"/>
      <c r="AA23" s="143"/>
    </row>
    <row r="24" spans="2:27" hidden="1" x14ac:dyDescent="0.25">
      <c r="B24" s="156"/>
      <c r="E24" s="439"/>
      <c r="F24" s="439"/>
      <c r="G24" s="439"/>
      <c r="H24" s="439"/>
      <c r="I24" s="439"/>
      <c r="J24" s="439"/>
      <c r="L24" s="116"/>
      <c r="M24" s="116"/>
      <c r="N24" s="116"/>
      <c r="O24" s="116"/>
      <c r="P24" s="123"/>
      <c r="W24" s="105"/>
      <c r="X24" s="105"/>
      <c r="Y24" s="112"/>
      <c r="AA24" s="143"/>
    </row>
    <row r="25" spans="2:27" ht="10.9" customHeight="1" x14ac:dyDescent="0.25">
      <c r="B25" s="156"/>
      <c r="W25" s="112"/>
    </row>
    <row r="26" spans="2:27" x14ac:dyDescent="0.25">
      <c r="E26" s="417" t="s">
        <v>192</v>
      </c>
      <c r="F26" s="418"/>
      <c r="G26" s="418"/>
      <c r="H26" s="418"/>
      <c r="I26" s="418"/>
      <c r="J26" s="418"/>
      <c r="L26" s="435" t="s">
        <v>318</v>
      </c>
      <c r="M26" s="365"/>
      <c r="N26" s="366"/>
      <c r="O26" s="366"/>
    </row>
    <row r="27" spans="2:27" ht="16.5" x14ac:dyDescent="0.3">
      <c r="E27" s="437" t="s">
        <v>20</v>
      </c>
      <c r="F27" s="438"/>
      <c r="G27" s="438"/>
      <c r="H27" s="43" t="s">
        <v>301</v>
      </c>
      <c r="I27" s="43" t="s">
        <v>319</v>
      </c>
      <c r="J27" s="167" t="s">
        <v>193</v>
      </c>
      <c r="L27" s="436"/>
      <c r="M27" s="365"/>
    </row>
    <row r="28" spans="2:27" x14ac:dyDescent="0.25">
      <c r="E28" s="411" t="s">
        <v>197</v>
      </c>
      <c r="F28" s="412"/>
      <c r="G28" s="412"/>
      <c r="H28" s="58">
        <f>Tarifa_contingência!D37</f>
        <v>655497.3355647251</v>
      </c>
      <c r="I28" s="58">
        <f>H28</f>
        <v>655497.3355647251</v>
      </c>
      <c r="J28" s="266">
        <f t="shared" ref="J28:J34" si="11">I28/$C$11</f>
        <v>2.1132884644049586E-3</v>
      </c>
      <c r="L28" s="367">
        <v>1490278818.02</v>
      </c>
      <c r="M28" s="320"/>
      <c r="N28" s="333"/>
    </row>
    <row r="29" spans="2:27" x14ac:dyDescent="0.25">
      <c r="E29" s="411" t="s">
        <v>194</v>
      </c>
      <c r="F29" s="412"/>
      <c r="G29" s="412"/>
      <c r="H29" s="58">
        <v>1949382.23</v>
      </c>
      <c r="I29" s="58">
        <f>H29</f>
        <v>1949382.23</v>
      </c>
      <c r="J29" s="266">
        <f t="shared" si="11"/>
        <v>6.2847043852983526E-3</v>
      </c>
      <c r="L29" s="42"/>
      <c r="M29" s="116"/>
      <c r="N29" s="363"/>
    </row>
    <row r="30" spans="2:27" x14ac:dyDescent="0.25">
      <c r="E30" s="411" t="s">
        <v>195</v>
      </c>
      <c r="F30" s="412"/>
      <c r="G30" s="412"/>
      <c r="H30" s="58">
        <v>-62583.690970295713</v>
      </c>
      <c r="I30" s="58">
        <f t="shared" ref="I30:I31" si="12">H30</f>
        <v>-62583.690970295713</v>
      </c>
      <c r="J30" s="266">
        <f t="shared" si="11"/>
        <v>-2.0176648326643173E-4</v>
      </c>
      <c r="L30" s="435" t="s">
        <v>262</v>
      </c>
      <c r="M30" s="365"/>
      <c r="N30" s="334"/>
    </row>
    <row r="31" spans="2:27" x14ac:dyDescent="0.25">
      <c r="E31" s="411" t="s">
        <v>196</v>
      </c>
      <c r="F31" s="412"/>
      <c r="G31" s="412"/>
      <c r="H31" s="321">
        <v>-60000</v>
      </c>
      <c r="I31" s="58">
        <f t="shared" si="12"/>
        <v>-60000</v>
      </c>
      <c r="J31" s="266">
        <f t="shared" si="11"/>
        <v>-1.9343680131828284E-4</v>
      </c>
      <c r="L31" s="436"/>
      <c r="M31" s="365"/>
      <c r="O31" s="29"/>
    </row>
    <row r="32" spans="2:27" ht="14.45" customHeight="1" x14ac:dyDescent="0.25">
      <c r="E32" s="411" t="s">
        <v>306</v>
      </c>
      <c r="F32" s="412"/>
      <c r="G32" s="412"/>
      <c r="H32" s="44">
        <f>-L28*5.6%</f>
        <v>-83455613.809119985</v>
      </c>
      <c r="I32" s="44">
        <v>-17546842.983568415</v>
      </c>
      <c r="J32" s="266">
        <f t="shared" si="11"/>
        <v>-5.657008633292715E-2</v>
      </c>
      <c r="L32" s="368">
        <f>'RTP 2020'!E53</f>
        <v>-4.3376670688177965E-2</v>
      </c>
      <c r="M32" s="364"/>
      <c r="O32" s="29"/>
    </row>
    <row r="33" spans="5:15" ht="14.45" customHeight="1" x14ac:dyDescent="0.25">
      <c r="E33" s="411" t="s">
        <v>198</v>
      </c>
      <c r="F33" s="412"/>
      <c r="G33" s="412"/>
      <c r="H33" s="44">
        <f>L36*L32</f>
        <v>-67858793.915883362</v>
      </c>
      <c r="I33" s="44">
        <v>-14267555.501056217</v>
      </c>
      <c r="J33" s="266">
        <f t="shared" si="11"/>
        <v>-4.5997838312589745E-2</v>
      </c>
      <c r="L33" s="42"/>
      <c r="M33" s="116"/>
      <c r="O33" s="29"/>
    </row>
    <row r="34" spans="5:15" x14ac:dyDescent="0.25">
      <c r="E34" s="414" t="s">
        <v>32</v>
      </c>
      <c r="F34" s="415"/>
      <c r="G34" s="415"/>
      <c r="H34" s="169">
        <f>SUM(H28:H33)</f>
        <v>-148832111.85040891</v>
      </c>
      <c r="I34" s="169">
        <f>SUM(I28:I33)</f>
        <v>-29332102.610030204</v>
      </c>
      <c r="J34" s="267">
        <f t="shared" si="11"/>
        <v>-9.4565135080398308E-2</v>
      </c>
      <c r="L34" s="435" t="s">
        <v>263</v>
      </c>
      <c r="M34" s="365"/>
    </row>
    <row r="35" spans="5:15" ht="6" customHeight="1" x14ac:dyDescent="0.25">
      <c r="I35" s="29"/>
      <c r="J35" s="29"/>
      <c r="L35" s="436"/>
      <c r="M35" s="365"/>
    </row>
    <row r="36" spans="5:15" ht="14.45" customHeight="1" x14ac:dyDescent="0.25">
      <c r="E36" s="417" t="s">
        <v>199</v>
      </c>
      <c r="F36" s="418"/>
      <c r="G36" s="418"/>
      <c r="H36" s="418"/>
      <c r="I36" s="418"/>
      <c r="J36" s="418"/>
      <c r="L36" s="268">
        <f>'RTP 2020'!E51</f>
        <v>1564407614.491673</v>
      </c>
      <c r="M36" s="345"/>
    </row>
    <row r="37" spans="5:15" ht="16.5" x14ac:dyDescent="0.3">
      <c r="E37" s="437" t="s">
        <v>20</v>
      </c>
      <c r="F37" s="438"/>
      <c r="G37" s="438"/>
      <c r="H37" s="43" t="s">
        <v>301</v>
      </c>
      <c r="I37" s="43" t="s">
        <v>319</v>
      </c>
      <c r="J37" s="167" t="s">
        <v>193</v>
      </c>
      <c r="M37" s="116"/>
    </row>
    <row r="38" spans="5:15" x14ac:dyDescent="0.25">
      <c r="E38" s="411" t="s">
        <v>200</v>
      </c>
      <c r="F38" s="412"/>
      <c r="G38" s="413"/>
      <c r="H38" s="44">
        <v>-27935606.135564726</v>
      </c>
      <c r="I38" s="58">
        <f>H38</f>
        <v>-27935606.135564726</v>
      </c>
      <c r="J38" s="266">
        <f>I38/C13</f>
        <v>-0.10403562119884241</v>
      </c>
      <c r="L38" s="29"/>
      <c r="M38" s="116"/>
    </row>
    <row r="39" spans="5:15" x14ac:dyDescent="0.25">
      <c r="E39" s="411" t="s">
        <v>201</v>
      </c>
      <c r="F39" s="412"/>
      <c r="G39" s="413"/>
      <c r="H39" s="44">
        <f>H34</f>
        <v>-148832111.85040891</v>
      </c>
      <c r="I39" s="58">
        <f>I34</f>
        <v>-29332102.610030204</v>
      </c>
      <c r="J39" s="266">
        <f>I39/C11</f>
        <v>-9.4565135080398308E-2</v>
      </c>
      <c r="L39" s="29"/>
    </row>
    <row r="40" spans="5:15" x14ac:dyDescent="0.25">
      <c r="E40" s="414" t="s">
        <v>32</v>
      </c>
      <c r="F40" s="415"/>
      <c r="G40" s="416"/>
      <c r="H40" s="169">
        <f>SUM(H38:H39)</f>
        <v>-176767717.98597363</v>
      </c>
      <c r="I40" s="169">
        <f>SUM(I38:I39)</f>
        <v>-57267708.745594934</v>
      </c>
      <c r="J40" s="267">
        <f>SUM(J38:J39)</f>
        <v>-0.19860075627924073</v>
      </c>
      <c r="L40" s="29"/>
    </row>
    <row r="41" spans="5:15" x14ac:dyDescent="0.25">
      <c r="L41" s="29"/>
    </row>
  </sheetData>
  <mergeCells count="38">
    <mergeCell ref="B9:C9"/>
    <mergeCell ref="L19:N19"/>
    <mergeCell ref="E2:J2"/>
    <mergeCell ref="E5:J5"/>
    <mergeCell ref="L5:L6"/>
    <mergeCell ref="M15:N15"/>
    <mergeCell ref="M14:N14"/>
    <mergeCell ref="E23:J24"/>
    <mergeCell ref="E21:J22"/>
    <mergeCell ref="O5:AA5"/>
    <mergeCell ref="L26:L27"/>
    <mergeCell ref="L30:L31"/>
    <mergeCell ref="E27:G27"/>
    <mergeCell ref="E28:G28"/>
    <mergeCell ref="E29:G29"/>
    <mergeCell ref="E30:G30"/>
    <mergeCell ref="E31:G31"/>
    <mergeCell ref="E32:G32"/>
    <mergeCell ref="E33:G33"/>
    <mergeCell ref="E34:G34"/>
    <mergeCell ref="E37:G37"/>
    <mergeCell ref="E38:G38"/>
    <mergeCell ref="E39:G39"/>
    <mergeCell ref="E40:G40"/>
    <mergeCell ref="E26:J26"/>
    <mergeCell ref="E36:J36"/>
    <mergeCell ref="M5:N6"/>
    <mergeCell ref="M7:N7"/>
    <mergeCell ref="M8:N8"/>
    <mergeCell ref="M9:N9"/>
    <mergeCell ref="M10:N10"/>
    <mergeCell ref="M13:N13"/>
    <mergeCell ref="M12:N12"/>
    <mergeCell ref="M11:N11"/>
    <mergeCell ref="M18:N18"/>
    <mergeCell ref="M17:N17"/>
    <mergeCell ref="M16:N16"/>
    <mergeCell ref="L34:L3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A10:AA12" formula="1"/>
    <ignoredError sqref="O10:Z10" formula="1" formulaRange="1"/>
    <ignoredError sqref="O12:R12 O11:R11 T11:Z11 T12:Z12" formula="1" formulaRange="1" unlockedFormula="1"/>
    <ignoredError sqref="F11:F19" evalError="1"/>
    <ignoredError sqref="S11:S1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6661F-EA2B-4F19-A09A-D660C329E2F0}">
  <sheetPr>
    <tabColor theme="9" tint="0.39997558519241921"/>
  </sheetPr>
  <dimension ref="A1:G120"/>
  <sheetViews>
    <sheetView showGridLines="0" topLeftCell="A10" zoomScale="90" zoomScaleNormal="90" workbookViewId="0">
      <selection activeCell="H12" sqref="H12"/>
    </sheetView>
  </sheetViews>
  <sheetFormatPr defaultColWidth="9.140625" defaultRowHeight="0" customHeight="1" zeroHeight="1" x14ac:dyDescent="0.2"/>
  <cols>
    <col min="1" max="1" width="1.7109375" style="339" customWidth="1"/>
    <col min="2" max="2" width="11.42578125" style="339" customWidth="1"/>
    <col min="3" max="3" width="22.5703125" style="339" customWidth="1"/>
    <col min="4" max="4" width="23.7109375" style="339" customWidth="1"/>
    <col min="5" max="5" width="12.85546875" style="339" customWidth="1"/>
    <col min="6" max="6" width="14.7109375" style="339" customWidth="1"/>
    <col min="7" max="7" width="15.7109375" style="339" customWidth="1"/>
    <col min="8" max="10" width="9.140625" style="339" customWidth="1"/>
    <col min="11" max="16384" width="9.140625" style="339"/>
  </cols>
  <sheetData>
    <row r="1" spans="2:7" ht="15" customHeight="1" x14ac:dyDescent="0.2"/>
    <row r="2" spans="2:7" ht="15" customHeight="1" x14ac:dyDescent="0.2">
      <c r="D2" s="448" t="s">
        <v>308</v>
      </c>
      <c r="E2" s="448"/>
      <c r="F2" s="448"/>
      <c r="G2" s="448"/>
    </row>
    <row r="3" spans="2:7" ht="15" customHeight="1" x14ac:dyDescent="0.2">
      <c r="D3" s="448"/>
      <c r="E3" s="448"/>
      <c r="F3" s="448"/>
      <c r="G3" s="448"/>
    </row>
    <row r="4" spans="2:7" ht="15" customHeight="1" x14ac:dyDescent="0.2">
      <c r="D4" s="448"/>
      <c r="E4" s="448"/>
      <c r="F4" s="448"/>
      <c r="G4" s="448"/>
    </row>
    <row r="5" spans="2:7" ht="15" customHeight="1" x14ac:dyDescent="0.2">
      <c r="D5" s="448"/>
      <c r="E5" s="448"/>
      <c r="F5" s="448"/>
      <c r="G5" s="448"/>
    </row>
    <row r="6" spans="2:7" ht="15" customHeight="1" x14ac:dyDescent="0.2"/>
    <row r="7" spans="2:7" s="340" customFormat="1" ht="7.5" customHeight="1" x14ac:dyDescent="0.25">
      <c r="B7" s="341"/>
      <c r="C7" s="341"/>
      <c r="D7" s="341"/>
      <c r="E7" s="341"/>
      <c r="F7" s="341"/>
      <c r="G7" s="341"/>
    </row>
    <row r="8" spans="2:7" s="285" customFormat="1" ht="6" customHeight="1" x14ac:dyDescent="0.2">
      <c r="B8" s="342"/>
      <c r="C8" s="342"/>
      <c r="D8" s="342"/>
      <c r="E8" s="295"/>
      <c r="F8" s="342"/>
      <c r="G8" s="342"/>
    </row>
    <row r="9" spans="2:7" s="285" customFormat="1" ht="15" customHeight="1" x14ac:dyDescent="0.25">
      <c r="B9" s="455" t="s">
        <v>309</v>
      </c>
      <c r="C9" s="456" t="s">
        <v>310</v>
      </c>
      <c r="D9" s="456"/>
      <c r="E9" s="456" t="s">
        <v>311</v>
      </c>
      <c r="F9" s="449" t="s">
        <v>312</v>
      </c>
      <c r="G9" s="342"/>
    </row>
    <row r="10" spans="2:7" s="285" customFormat="1" ht="15" customHeight="1" x14ac:dyDescent="0.25">
      <c r="B10" s="455"/>
      <c r="C10" s="342" t="s">
        <v>32</v>
      </c>
      <c r="D10" s="342" t="s">
        <v>299</v>
      </c>
      <c r="E10" s="456"/>
      <c r="F10" s="449"/>
    </row>
    <row r="11" spans="2:7" s="285" customFormat="1" ht="15" customHeight="1" x14ac:dyDescent="0.2">
      <c r="B11" s="342">
        <v>42705</v>
      </c>
      <c r="C11" s="343">
        <v>626735.68000000005</v>
      </c>
      <c r="D11" s="343">
        <v>319877.99</v>
      </c>
      <c r="E11" s="344">
        <v>0.16435077580250024</v>
      </c>
      <c r="F11" s="343">
        <f>D11*(1+E11)</f>
        <v>372450.18581864442</v>
      </c>
      <c r="G11" s="342"/>
    </row>
    <row r="12" spans="2:7" s="285" customFormat="1" ht="15" customHeight="1" x14ac:dyDescent="0.2">
      <c r="B12" s="342">
        <v>42736</v>
      </c>
      <c r="C12" s="343">
        <v>5143302.18</v>
      </c>
      <c r="D12" s="343">
        <v>3456838.33</v>
      </c>
      <c r="E12" s="344">
        <v>0.15994242623361177</v>
      </c>
      <c r="F12" s="343">
        <f t="shared" ref="F12:F23" si="0">D12*(1+E12)</f>
        <v>4009733.4395975466</v>
      </c>
      <c r="G12" s="342"/>
    </row>
    <row r="13" spans="2:7" s="285" customFormat="1" ht="12.75" x14ac:dyDescent="0.25">
      <c r="B13" s="342">
        <v>42767</v>
      </c>
      <c r="C13" s="345">
        <v>8539322.8000000007</v>
      </c>
      <c r="D13" s="345">
        <v>6498619.7199999997</v>
      </c>
      <c r="E13" s="346">
        <v>0.15612713554152369</v>
      </c>
      <c r="F13" s="343">
        <f t="shared" si="0"/>
        <v>7513230.601857258</v>
      </c>
    </row>
    <row r="14" spans="2:7" s="285" customFormat="1" ht="12.75" x14ac:dyDescent="0.25">
      <c r="B14" s="342">
        <v>42795</v>
      </c>
      <c r="C14" s="345">
        <v>15367698.869999999</v>
      </c>
      <c r="D14" s="345">
        <v>11402281.710000001</v>
      </c>
      <c r="E14" s="346">
        <v>0.15324502404758511</v>
      </c>
      <c r="F14" s="343">
        <f t="shared" si="0"/>
        <v>13149624.64484629</v>
      </c>
    </row>
    <row r="15" spans="2:7" s="285" customFormat="1" ht="15" customHeight="1" x14ac:dyDescent="0.25">
      <c r="B15" s="342">
        <v>42826</v>
      </c>
      <c r="C15" s="345">
        <v>9449007.4700000007</v>
      </c>
      <c r="D15" s="345">
        <v>7025075.4400000004</v>
      </c>
      <c r="E15" s="346">
        <v>0.15163282550886015</v>
      </c>
      <c r="F15" s="343">
        <f t="shared" si="0"/>
        <v>8090307.4783800989</v>
      </c>
      <c r="G15" s="347"/>
    </row>
    <row r="16" spans="2:7" s="285" customFormat="1" ht="15" customHeight="1" x14ac:dyDescent="0.25">
      <c r="B16" s="342">
        <v>42856</v>
      </c>
      <c r="C16" s="343">
        <v>10577516</v>
      </c>
      <c r="D16" s="343">
        <v>8089260.5999999996</v>
      </c>
      <c r="E16" s="346">
        <v>0.14807336153660344</v>
      </c>
      <c r="F16" s="343">
        <f t="shared" si="0"/>
        <v>9287064.6093876008</v>
      </c>
      <c r="G16" s="342"/>
    </row>
    <row r="17" spans="2:7" s="285" customFormat="1" ht="15" customHeight="1" x14ac:dyDescent="0.25">
      <c r="B17" s="342">
        <v>42887</v>
      </c>
      <c r="C17" s="345">
        <v>9196604.4800000004</v>
      </c>
      <c r="D17" s="345">
        <v>7142100.5</v>
      </c>
      <c r="E17" s="346">
        <v>0.15072005496381613</v>
      </c>
      <c r="F17" s="343">
        <f t="shared" si="0"/>
        <v>8218558.2799170986</v>
      </c>
      <c r="G17" s="348"/>
    </row>
    <row r="18" spans="2:7" s="285" customFormat="1" ht="15" customHeight="1" x14ac:dyDescent="0.25">
      <c r="B18" s="342">
        <v>42917</v>
      </c>
      <c r="C18" s="345">
        <v>2091863.53</v>
      </c>
      <c r="D18" s="345">
        <v>1686604.98</v>
      </c>
      <c r="E18" s="346">
        <v>0.14796433430294376</v>
      </c>
      <c r="F18" s="343">
        <f t="shared" si="0"/>
        <v>1936162.3630977299</v>
      </c>
      <c r="G18" s="348"/>
    </row>
    <row r="19" spans="2:7" s="285" customFormat="1" ht="15" customHeight="1" x14ac:dyDescent="0.25">
      <c r="B19" s="342">
        <v>42948</v>
      </c>
      <c r="C19" s="343">
        <v>896971.44</v>
      </c>
      <c r="D19" s="343">
        <v>797533.48</v>
      </c>
      <c r="E19" s="346">
        <v>0.14578812998782231</v>
      </c>
      <c r="F19" s="343">
        <f t="shared" si="0"/>
        <v>913804.39465188025</v>
      </c>
      <c r="G19" s="342"/>
    </row>
    <row r="20" spans="2:7" s="285" customFormat="1" ht="15" customHeight="1" x14ac:dyDescent="0.25">
      <c r="B20" s="342">
        <v>42979</v>
      </c>
      <c r="C20" s="343">
        <v>915434.79</v>
      </c>
      <c r="D20" s="343">
        <v>774043.34</v>
      </c>
      <c r="E20" s="346">
        <v>0.14395895351205468</v>
      </c>
      <c r="F20" s="343">
        <f t="shared" si="0"/>
        <v>885473.80919937545</v>
      </c>
      <c r="G20" s="342"/>
    </row>
    <row r="21" spans="2:7" s="285" customFormat="1" ht="15" customHeight="1" x14ac:dyDescent="0.25">
      <c r="B21" s="342">
        <v>43009</v>
      </c>
      <c r="C21" s="343">
        <v>600490.18000000005</v>
      </c>
      <c r="D21" s="343">
        <v>524950.43999999994</v>
      </c>
      <c r="E21" s="346">
        <v>0.13917336747759279</v>
      </c>
      <c r="F21" s="343">
        <f t="shared" si="0"/>
        <v>598009.56049364398</v>
      </c>
      <c r="G21" s="342"/>
    </row>
    <row r="22" spans="2:7" s="285" customFormat="1" ht="15" customHeight="1" x14ac:dyDescent="0.25">
      <c r="B22" s="342">
        <v>43040</v>
      </c>
      <c r="C22" s="343">
        <v>457158.57</v>
      </c>
      <c r="D22" s="343">
        <v>369035.69</v>
      </c>
      <c r="E22" s="346">
        <v>0.13599200804098954</v>
      </c>
      <c r="F22" s="343">
        <f t="shared" si="0"/>
        <v>419221.59452189214</v>
      </c>
      <c r="G22" s="342"/>
    </row>
    <row r="23" spans="2:7" s="285" customFormat="1" ht="15" customHeight="1" x14ac:dyDescent="0.2">
      <c r="B23" s="342">
        <v>43070</v>
      </c>
      <c r="C23" s="343">
        <v>451478.84</v>
      </c>
      <c r="D23" s="343">
        <v>422250.2</v>
      </c>
      <c r="E23" s="344">
        <v>0.13101499859655119</v>
      </c>
      <c r="F23" s="343">
        <f t="shared" si="0"/>
        <v>477571.3093603935</v>
      </c>
      <c r="G23" s="342"/>
    </row>
    <row r="24" spans="2:7" s="285" customFormat="1" ht="7.9" customHeight="1" x14ac:dyDescent="0.2">
      <c r="B24" s="342"/>
      <c r="C24" s="349"/>
      <c r="D24" s="349"/>
      <c r="E24" s="295"/>
      <c r="F24" s="349"/>
      <c r="G24" s="342"/>
    </row>
    <row r="25" spans="2:7" s="285" customFormat="1" ht="15" customHeight="1" x14ac:dyDescent="0.2">
      <c r="B25" s="350" t="s">
        <v>32</v>
      </c>
      <c r="C25" s="351">
        <f>SUM(C11:C23)</f>
        <v>64313584.830000006</v>
      </c>
      <c r="D25" s="351">
        <f>SUM(D11:D23)</f>
        <v>48508472.419999994</v>
      </c>
      <c r="E25" s="352"/>
      <c r="F25" s="351">
        <f>SUM(F11:F23)</f>
        <v>55871212.271129452</v>
      </c>
      <c r="G25" s="342"/>
    </row>
    <row r="26" spans="2:7" s="285" customFormat="1" ht="15" customHeight="1" x14ac:dyDescent="0.2">
      <c r="B26" s="342"/>
      <c r="C26" s="342"/>
      <c r="D26" s="342"/>
      <c r="E26" s="295"/>
      <c r="F26" s="342"/>
      <c r="G26" s="342"/>
    </row>
    <row r="27" spans="2:7" s="285" customFormat="1" ht="15" customHeight="1" x14ac:dyDescent="0.2">
      <c r="B27" s="453" t="s">
        <v>313</v>
      </c>
      <c r="C27" s="453"/>
      <c r="D27" s="457">
        <f>F25</f>
        <v>55871212.271129452</v>
      </c>
      <c r="E27" s="353"/>
      <c r="F27" s="342"/>
      <c r="G27" s="342"/>
    </row>
    <row r="28" spans="2:7" s="285" customFormat="1" ht="15" customHeight="1" x14ac:dyDescent="0.2">
      <c r="B28" s="449"/>
      <c r="C28" s="449"/>
      <c r="D28" s="458"/>
      <c r="E28" s="353"/>
      <c r="F28" s="342"/>
      <c r="G28" s="342"/>
    </row>
    <row r="29" spans="2:7" s="285" customFormat="1" ht="15" customHeight="1" x14ac:dyDescent="0.2">
      <c r="B29" s="449" t="s">
        <v>314</v>
      </c>
      <c r="C29" s="449"/>
      <c r="D29" s="451">
        <f>D27/2</f>
        <v>27935606.135564726</v>
      </c>
      <c r="E29" s="353"/>
      <c r="F29" s="342"/>
      <c r="G29" s="342"/>
    </row>
    <row r="30" spans="2:7" s="285" customFormat="1" ht="15" customHeight="1" x14ac:dyDescent="0.2">
      <c r="B30" s="450"/>
      <c r="C30" s="450"/>
      <c r="D30" s="452"/>
      <c r="E30" s="353"/>
      <c r="F30" s="342"/>
      <c r="G30" s="342"/>
    </row>
    <row r="31" spans="2:7" s="285" customFormat="1" ht="9.6" customHeight="1" x14ac:dyDescent="0.2">
      <c r="B31" s="342"/>
      <c r="C31" s="342"/>
      <c r="D31" s="349"/>
      <c r="E31" s="353"/>
      <c r="F31" s="342"/>
      <c r="G31" s="342"/>
    </row>
    <row r="32" spans="2:7" s="285" customFormat="1" ht="15" customHeight="1" x14ac:dyDescent="0.2">
      <c r="B32" s="453" t="s">
        <v>315</v>
      </c>
      <c r="C32" s="453"/>
      <c r="D32" s="454">
        <f>27280108.8</f>
        <v>27280108.800000001</v>
      </c>
      <c r="E32" s="353"/>
      <c r="F32" s="342"/>
      <c r="G32" s="342"/>
    </row>
    <row r="33" spans="1:7" s="285" customFormat="1" ht="15" customHeight="1" x14ac:dyDescent="0.2">
      <c r="B33" s="450"/>
      <c r="C33" s="450"/>
      <c r="D33" s="452"/>
      <c r="E33" s="354"/>
      <c r="F33" s="355"/>
      <c r="G33" s="342"/>
    </row>
    <row r="34" spans="1:7" s="285" customFormat="1" ht="8.4499999999999993" customHeight="1" x14ac:dyDescent="0.25">
      <c r="B34" s="342"/>
      <c r="C34" s="342"/>
      <c r="D34" s="349"/>
      <c r="E34" s="356"/>
      <c r="F34" s="342"/>
      <c r="G34" s="342"/>
    </row>
    <row r="35" spans="1:7" s="285" customFormat="1" ht="12.75" x14ac:dyDescent="0.25">
      <c r="B35" s="446" t="s">
        <v>316</v>
      </c>
      <c r="C35" s="446"/>
      <c r="D35" s="357">
        <f>D29</f>
        <v>27935606.135564726</v>
      </c>
      <c r="E35" s="358"/>
      <c r="F35" s="286"/>
    </row>
    <row r="36" spans="1:7" s="285" customFormat="1" ht="9" customHeight="1" x14ac:dyDescent="0.25">
      <c r="B36" s="347"/>
      <c r="C36" s="347"/>
      <c r="D36" s="347"/>
      <c r="E36" s="347"/>
      <c r="F36" s="347"/>
      <c r="G36" s="347"/>
    </row>
    <row r="37" spans="1:7" s="285" customFormat="1" ht="12.75" x14ac:dyDescent="0.25">
      <c r="B37" s="446" t="s">
        <v>317</v>
      </c>
      <c r="C37" s="446"/>
      <c r="D37" s="359">
        <f>D35-D32</f>
        <v>655497.3355647251</v>
      </c>
      <c r="E37" s="302"/>
    </row>
    <row r="38" spans="1:7" s="285" customFormat="1" ht="11.25" customHeight="1" x14ac:dyDescent="0.25">
      <c r="B38" s="447"/>
      <c r="C38" s="447"/>
      <c r="D38" s="447"/>
      <c r="E38" s="447"/>
      <c r="F38" s="447"/>
      <c r="G38" s="447"/>
    </row>
    <row r="39" spans="1:7" s="285" customFormat="1" ht="6.6" customHeight="1" x14ac:dyDescent="0.25">
      <c r="A39" s="360"/>
      <c r="B39" s="360"/>
      <c r="C39" s="360"/>
      <c r="D39" s="360"/>
      <c r="E39" s="360"/>
      <c r="F39" s="360"/>
      <c r="G39" s="360"/>
    </row>
    <row r="40" spans="1:7" s="285" customFormat="1" ht="15" customHeight="1" x14ac:dyDescent="0.2">
      <c r="B40" s="342"/>
      <c r="C40" s="342"/>
      <c r="D40" s="342"/>
      <c r="E40" s="295"/>
      <c r="F40" s="342"/>
      <c r="G40" s="342"/>
    </row>
    <row r="41" spans="1:7" s="285" customFormat="1" ht="15" hidden="1" customHeight="1" x14ac:dyDescent="0.2">
      <c r="B41" s="342"/>
      <c r="C41" s="342"/>
      <c r="D41" s="342"/>
      <c r="E41" s="295"/>
      <c r="F41" s="342"/>
      <c r="G41" s="342"/>
    </row>
    <row r="42" spans="1:7" s="285" customFormat="1" ht="15" hidden="1" customHeight="1" x14ac:dyDescent="0.2">
      <c r="B42" s="342"/>
      <c r="C42" s="342"/>
      <c r="D42" s="342"/>
      <c r="E42" s="295"/>
      <c r="F42" s="342"/>
      <c r="G42" s="342"/>
    </row>
    <row r="43" spans="1:7" s="285" customFormat="1" ht="15" hidden="1" customHeight="1" x14ac:dyDescent="0.2">
      <c r="B43" s="342"/>
      <c r="C43" s="342"/>
      <c r="D43" s="342"/>
      <c r="E43" s="295"/>
      <c r="F43" s="342"/>
      <c r="G43" s="342"/>
    </row>
    <row r="44" spans="1:7" s="285" customFormat="1" ht="15" hidden="1" customHeight="1" x14ac:dyDescent="0.2">
      <c r="B44" s="342"/>
      <c r="C44" s="342"/>
      <c r="D44" s="342"/>
      <c r="E44" s="295"/>
      <c r="F44" s="342"/>
      <c r="G44" s="342"/>
    </row>
    <row r="45" spans="1:7" s="285" customFormat="1" ht="15" hidden="1" customHeight="1" x14ac:dyDescent="0.2">
      <c r="B45" s="342"/>
      <c r="C45" s="342"/>
      <c r="D45" s="342"/>
      <c r="E45" s="295"/>
      <c r="F45" s="342"/>
      <c r="G45" s="342"/>
    </row>
    <row r="46" spans="1:7" s="285" customFormat="1" ht="15" hidden="1" customHeight="1" x14ac:dyDescent="0.2">
      <c r="B46" s="342"/>
      <c r="C46" s="342"/>
      <c r="D46" s="342"/>
      <c r="E46" s="295"/>
      <c r="F46" s="342"/>
      <c r="G46" s="342"/>
    </row>
    <row r="47" spans="1:7" s="285" customFormat="1" ht="15" hidden="1" customHeight="1" x14ac:dyDescent="0.2">
      <c r="B47" s="342"/>
      <c r="C47" s="342"/>
      <c r="D47" s="342"/>
      <c r="E47" s="295"/>
      <c r="F47" s="342"/>
      <c r="G47" s="342"/>
    </row>
    <row r="48" spans="1:7" s="285" customFormat="1" ht="15" hidden="1" customHeight="1" x14ac:dyDescent="0.2">
      <c r="B48" s="342"/>
      <c r="C48" s="342"/>
      <c r="D48" s="342"/>
      <c r="E48" s="295"/>
      <c r="F48" s="342"/>
      <c r="G48" s="342"/>
    </row>
    <row r="49" spans="2:7" s="285" customFormat="1" ht="15" hidden="1" customHeight="1" x14ac:dyDescent="0.2">
      <c r="B49" s="342"/>
      <c r="C49" s="342"/>
      <c r="D49" s="342"/>
      <c r="E49" s="295"/>
      <c r="F49" s="342"/>
      <c r="G49" s="342"/>
    </row>
    <row r="50" spans="2:7" s="285" customFormat="1" ht="15" hidden="1" customHeight="1" x14ac:dyDescent="0.2">
      <c r="B50" s="342"/>
      <c r="C50" s="342"/>
      <c r="D50" s="342"/>
      <c r="E50" s="295"/>
      <c r="F50" s="342"/>
      <c r="G50" s="342"/>
    </row>
    <row r="51" spans="2:7" s="285" customFormat="1" ht="15" hidden="1" customHeight="1" x14ac:dyDescent="0.2">
      <c r="B51" s="342"/>
      <c r="C51" s="342"/>
      <c r="D51" s="342"/>
      <c r="E51" s="295"/>
      <c r="F51" s="342"/>
      <c r="G51" s="342"/>
    </row>
    <row r="52" spans="2:7" s="285" customFormat="1" ht="7.5" hidden="1" customHeight="1" x14ac:dyDescent="0.25"/>
    <row r="53" spans="2:7" s="285" customFormat="1" ht="7.5" hidden="1" customHeight="1" x14ac:dyDescent="0.25"/>
    <row r="54" spans="2:7" s="285" customFormat="1" ht="12.75" hidden="1" x14ac:dyDescent="0.25">
      <c r="B54" s="361"/>
      <c r="C54" s="361"/>
      <c r="D54" s="361"/>
    </row>
    <row r="55" spans="2:7" s="276" customFormat="1" ht="12.75" hidden="1" x14ac:dyDescent="0.2">
      <c r="B55" s="362"/>
      <c r="C55" s="362"/>
      <c r="D55" s="362"/>
    </row>
    <row r="56" spans="2:7" s="285" customFormat="1" ht="12.75" hidden="1" x14ac:dyDescent="0.25">
      <c r="B56" s="362"/>
      <c r="C56" s="362"/>
      <c r="D56" s="362"/>
    </row>
    <row r="57" spans="2:7" s="340" customFormat="1" ht="12.75" hidden="1" x14ac:dyDescent="0.25"/>
    <row r="58" spans="2:7" s="340" customFormat="1" ht="12.75" hidden="1" x14ac:dyDescent="0.25"/>
    <row r="59" spans="2:7" s="340" customFormat="1" ht="12.75" hidden="1" x14ac:dyDescent="0.25"/>
    <row r="60" spans="2:7" s="340" customFormat="1" ht="12.75" hidden="1" x14ac:dyDescent="0.25"/>
    <row r="61" spans="2:7" s="340" customFormat="1" ht="12.75" hidden="1" x14ac:dyDescent="0.25"/>
    <row r="62" spans="2:7" s="340" customFormat="1" ht="12.75" hidden="1" x14ac:dyDescent="0.25"/>
    <row r="63" spans="2:7" s="340" customFormat="1" ht="12.75" hidden="1" x14ac:dyDescent="0.25"/>
    <row r="64" spans="2:7" s="340" customFormat="1" ht="12.75" hidden="1" x14ac:dyDescent="0.25"/>
    <row r="65" s="340" customFormat="1" ht="12.75" hidden="1" x14ac:dyDescent="0.25"/>
    <row r="66" s="340" customFormat="1" ht="12.75" hidden="1" x14ac:dyDescent="0.25"/>
    <row r="67" s="340" customFormat="1" ht="12.75" hidden="1" x14ac:dyDescent="0.25"/>
    <row r="68" s="340" customFormat="1" ht="12.75" hidden="1" x14ac:dyDescent="0.25"/>
    <row r="69" s="340" customFormat="1" ht="12.75" hidden="1" x14ac:dyDescent="0.25"/>
    <row r="70" s="340" customFormat="1" ht="12.75" hidden="1" x14ac:dyDescent="0.25"/>
    <row r="71" s="340" customFormat="1" ht="12.75" hidden="1" x14ac:dyDescent="0.25"/>
    <row r="72" s="340" customFormat="1" ht="12.75" hidden="1" x14ac:dyDescent="0.25"/>
    <row r="73" s="340" customFormat="1" ht="12.75" hidden="1" x14ac:dyDescent="0.25"/>
    <row r="74" s="340" customFormat="1" ht="12.75" hidden="1" x14ac:dyDescent="0.25"/>
    <row r="75" s="340" customFormat="1" ht="12.75" hidden="1" x14ac:dyDescent="0.25"/>
    <row r="76" s="340" customFormat="1" ht="12.75" hidden="1" x14ac:dyDescent="0.25"/>
    <row r="77" s="340" customFormat="1" ht="12.75" hidden="1" x14ac:dyDescent="0.25"/>
    <row r="78" s="340" customFormat="1" ht="12.75" hidden="1" x14ac:dyDescent="0.25"/>
    <row r="79" s="340" customFormat="1" ht="12.75" hidden="1" x14ac:dyDescent="0.25"/>
    <row r="80" s="340" customFormat="1" ht="12.75" hidden="1" x14ac:dyDescent="0.25"/>
    <row r="81" s="340" customFormat="1" ht="12.75" hidden="1" x14ac:dyDescent="0.25"/>
    <row r="82" s="340" customFormat="1" ht="12.75" hidden="1" x14ac:dyDescent="0.25"/>
    <row r="83" s="340" customFormat="1" ht="12.75" hidden="1" x14ac:dyDescent="0.25"/>
    <row r="84" s="340" customFormat="1" ht="12.75" hidden="1" x14ac:dyDescent="0.25"/>
    <row r="85" s="340" customFormat="1" ht="12.75" hidden="1" x14ac:dyDescent="0.25"/>
    <row r="86" s="340" customFormat="1" ht="12.75" hidden="1" x14ac:dyDescent="0.25"/>
    <row r="87" s="340" customFormat="1" ht="12.75" hidden="1" x14ac:dyDescent="0.25"/>
    <row r="88" s="340" customFormat="1" ht="12.75" hidden="1" x14ac:dyDescent="0.25"/>
    <row r="89" s="340" customFormat="1" ht="12.75" hidden="1" x14ac:dyDescent="0.25"/>
    <row r="90" s="340" customFormat="1" ht="12.75" hidden="1" x14ac:dyDescent="0.25"/>
    <row r="91" s="340" customFormat="1" ht="12.75" hidden="1" x14ac:dyDescent="0.25"/>
    <row r="92" s="340" customFormat="1" ht="12.75" hidden="1" x14ac:dyDescent="0.25"/>
    <row r="93" s="340" customFormat="1" ht="12.75" hidden="1" x14ac:dyDescent="0.25"/>
    <row r="94" s="340" customFormat="1" ht="12.75" hidden="1" x14ac:dyDescent="0.25"/>
    <row r="95" s="340" customFormat="1" ht="12.75" hidden="1" x14ac:dyDescent="0.25"/>
    <row r="96" s="340" customFormat="1" ht="12.75" hidden="1" x14ac:dyDescent="0.25"/>
    <row r="97" s="340" customFormat="1" ht="12.75" hidden="1" x14ac:dyDescent="0.25"/>
    <row r="98" s="340" customFormat="1" ht="12.75" hidden="1" x14ac:dyDescent="0.25"/>
    <row r="99" s="340" customFormat="1" ht="12.75" hidden="1" x14ac:dyDescent="0.25"/>
    <row r="100" s="340" customFormat="1" ht="12.75" hidden="1" x14ac:dyDescent="0.25"/>
    <row r="101" s="340" customFormat="1" ht="12.75" hidden="1" x14ac:dyDescent="0.25"/>
    <row r="102" s="340" customFormat="1" ht="12.75" hidden="1" x14ac:dyDescent="0.25"/>
    <row r="103" s="340" customFormat="1" ht="12.75" hidden="1" x14ac:dyDescent="0.25"/>
    <row r="104" s="340" customFormat="1" ht="12.75" hidden="1" x14ac:dyDescent="0.25"/>
    <row r="105" s="340" customFormat="1" ht="12.75" hidden="1" x14ac:dyDescent="0.25"/>
    <row r="106" s="340" customFormat="1" ht="12.75" hidden="1" x14ac:dyDescent="0.25"/>
    <row r="107" s="340" customFormat="1" ht="12.75" hidden="1" x14ac:dyDescent="0.25"/>
    <row r="108" s="340" customFormat="1" ht="12.75" hidden="1" x14ac:dyDescent="0.25"/>
    <row r="109" s="340" customFormat="1" ht="12.75" hidden="1" x14ac:dyDescent="0.25"/>
    <row r="110" s="340" customFormat="1" ht="12.75" hidden="1" x14ac:dyDescent="0.25"/>
    <row r="111" s="340" customFormat="1" ht="12.75" hidden="1" x14ac:dyDescent="0.25"/>
    <row r="112" s="340" customFormat="1" ht="12.75" hidden="1" x14ac:dyDescent="0.25"/>
    <row r="113" s="340" customFormat="1" ht="12.75" hidden="1" x14ac:dyDescent="0.25"/>
    <row r="114" s="340" customFormat="1" ht="12.75" hidden="1" x14ac:dyDescent="0.25"/>
    <row r="115" s="340" customFormat="1" ht="12.75" hidden="1" x14ac:dyDescent="0.25"/>
    <row r="116" s="340" customFormat="1" ht="12.75" hidden="1" x14ac:dyDescent="0.25"/>
    <row r="117" s="340" customFormat="1" ht="12.75" hidden="1" x14ac:dyDescent="0.25"/>
    <row r="118" s="340" customFormat="1" ht="12.75" hidden="1" x14ac:dyDescent="0.25"/>
    <row r="119" s="340" customFormat="1" ht="12.75" hidden="1" x14ac:dyDescent="0.25"/>
    <row r="120" ht="12.75" hidden="1" customHeight="1" x14ac:dyDescent="0.2"/>
  </sheetData>
  <mergeCells count="15">
    <mergeCell ref="B37:C37"/>
    <mergeCell ref="B38:E38"/>
    <mergeCell ref="F38:G38"/>
    <mergeCell ref="D2:G5"/>
    <mergeCell ref="B29:C30"/>
    <mergeCell ref="D29:D30"/>
    <mergeCell ref="B32:C33"/>
    <mergeCell ref="D32:D33"/>
    <mergeCell ref="B35:C35"/>
    <mergeCell ref="B9:B10"/>
    <mergeCell ref="C9:D9"/>
    <mergeCell ref="E9:E10"/>
    <mergeCell ref="F9:F10"/>
    <mergeCell ref="B27:C28"/>
    <mergeCell ref="D27:D28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rgb="FFFFFF00"/>
  </sheetPr>
  <dimension ref="A1:P44"/>
  <sheetViews>
    <sheetView showGridLines="0" tabSelected="1" topLeftCell="A10" zoomScaleNormal="100" workbookViewId="0">
      <selection activeCell="F30" sqref="F30"/>
    </sheetView>
  </sheetViews>
  <sheetFormatPr defaultRowHeight="15" x14ac:dyDescent="0.25"/>
  <cols>
    <col min="1" max="1" width="4.85546875" style="38" customWidth="1"/>
    <col min="2" max="2" width="33.28515625" style="38" customWidth="1"/>
    <col min="3" max="3" width="15.42578125" style="38" customWidth="1"/>
    <col min="4" max="4" width="17" style="38" customWidth="1"/>
    <col min="5" max="5" width="23.5703125" style="38" customWidth="1"/>
    <col min="6" max="6" width="42.85546875" customWidth="1"/>
    <col min="7" max="7" width="13" customWidth="1"/>
    <col min="8" max="8" width="14.7109375" customWidth="1"/>
    <col min="9" max="9" width="13.85546875" bestFit="1" customWidth="1"/>
    <col min="10" max="10" width="15.7109375" customWidth="1"/>
    <col min="11" max="11" width="15.140625" customWidth="1"/>
  </cols>
  <sheetData>
    <row r="1" spans="2:5" s="38" customFormat="1" ht="14.25" x14ac:dyDescent="0.2"/>
    <row r="2" spans="2:5" s="38" customFormat="1" ht="14.25" x14ac:dyDescent="0.2"/>
    <row r="3" spans="2:5" s="38" customFormat="1" ht="18" x14ac:dyDescent="0.2">
      <c r="B3" s="462" t="s">
        <v>202</v>
      </c>
      <c r="C3" s="462"/>
      <c r="D3" s="462"/>
      <c r="E3" s="462"/>
    </row>
    <row r="4" spans="2:5" s="38" customFormat="1" ht="14.25" x14ac:dyDescent="0.2"/>
    <row r="5" spans="2:5" s="38" customFormat="1" ht="14.25" x14ac:dyDescent="0.2"/>
    <row r="6" spans="2:5" s="38" customFormat="1" ht="14.25" x14ac:dyDescent="0.2"/>
    <row r="7" spans="2:5" s="39" customFormat="1" x14ac:dyDescent="0.25">
      <c r="B7" s="466" t="s">
        <v>203</v>
      </c>
      <c r="C7" s="467"/>
      <c r="D7" s="468"/>
      <c r="E7" s="179" t="s">
        <v>204</v>
      </c>
    </row>
    <row r="8" spans="2:5" s="40" customFormat="1" x14ac:dyDescent="0.25">
      <c r="B8" s="459" t="s">
        <v>205</v>
      </c>
      <c r="C8" s="460"/>
      <c r="D8" s="461"/>
      <c r="E8" s="181" t="s">
        <v>206</v>
      </c>
    </row>
    <row r="9" spans="2:5" s="40" customFormat="1" x14ac:dyDescent="0.25">
      <c r="B9" s="459" t="s">
        <v>207</v>
      </c>
      <c r="C9" s="460"/>
      <c r="D9" s="461"/>
      <c r="E9" s="181" t="s">
        <v>208</v>
      </c>
    </row>
    <row r="10" spans="2:5" s="40" customFormat="1" x14ac:dyDescent="0.25">
      <c r="B10" s="459" t="s">
        <v>209</v>
      </c>
      <c r="C10" s="460"/>
      <c r="D10" s="461"/>
      <c r="E10" s="181" t="s">
        <v>210</v>
      </c>
    </row>
    <row r="11" spans="2:5" s="40" customFormat="1" x14ac:dyDescent="0.25">
      <c r="B11" s="459" t="s">
        <v>211</v>
      </c>
      <c r="C11" s="460"/>
      <c r="D11" s="461"/>
      <c r="E11" s="181" t="s">
        <v>206</v>
      </c>
    </row>
    <row r="12" spans="2:5" s="40" customFormat="1" x14ac:dyDescent="0.25">
      <c r="B12" s="459" t="s">
        <v>212</v>
      </c>
      <c r="C12" s="460"/>
      <c r="D12" s="461"/>
      <c r="E12" s="181" t="s">
        <v>213</v>
      </c>
    </row>
    <row r="13" spans="2:5" s="40" customFormat="1" x14ac:dyDescent="0.25">
      <c r="B13" s="459" t="s">
        <v>214</v>
      </c>
      <c r="C13" s="460"/>
      <c r="D13" s="461"/>
      <c r="E13" s="181" t="s">
        <v>213</v>
      </c>
    </row>
    <row r="14" spans="2:5" s="40" customFormat="1" x14ac:dyDescent="0.25">
      <c r="B14" s="459" t="s">
        <v>215</v>
      </c>
      <c r="C14" s="460"/>
      <c r="D14" s="461"/>
      <c r="E14" s="181" t="s">
        <v>216</v>
      </c>
    </row>
    <row r="15" spans="2:5" s="40" customFormat="1" ht="15" customHeight="1" x14ac:dyDescent="0.25">
      <c r="B15" s="459" t="s">
        <v>217</v>
      </c>
      <c r="C15" s="460"/>
      <c r="D15" s="461"/>
      <c r="E15" s="181" t="s">
        <v>213</v>
      </c>
    </row>
    <row r="16" spans="2:5" s="38" customFormat="1" ht="14.25" x14ac:dyDescent="0.2"/>
    <row r="17" spans="1:16" s="41" customFormat="1" ht="14.25" x14ac:dyDescent="0.2">
      <c r="B17" s="38"/>
      <c r="C17" s="38"/>
      <c r="D17" s="38"/>
    </row>
    <row r="18" spans="1:16" s="41" customFormat="1" ht="17.25" x14ac:dyDescent="0.25">
      <c r="B18" s="463" t="s">
        <v>265</v>
      </c>
      <c r="C18" s="464"/>
      <c r="D18" s="465"/>
      <c r="E18" s="140"/>
      <c r="F18" s="463" t="s">
        <v>218</v>
      </c>
      <c r="G18" s="464"/>
      <c r="H18" s="465"/>
    </row>
    <row r="19" spans="1:16" s="38" customFormat="1" ht="18" x14ac:dyDescent="0.35">
      <c r="B19" s="180" t="s">
        <v>219</v>
      </c>
      <c r="C19" s="183" t="s">
        <v>220</v>
      </c>
      <c r="D19" s="184">
        <f>H19/H24</f>
        <v>0.24733993884784089</v>
      </c>
      <c r="E19" s="178"/>
      <c r="F19" s="239" t="s">
        <v>221</v>
      </c>
      <c r="G19" s="240" t="s">
        <v>222</v>
      </c>
      <c r="H19" s="316">
        <f>SUM('RTP 2020'!E14:E17)*(1+'RTP 2020'!E18)</f>
        <v>76719611.933883861</v>
      </c>
      <c r="J19" s="319"/>
    </row>
    <row r="20" spans="1:16" s="38" customFormat="1" ht="18" x14ac:dyDescent="0.35">
      <c r="B20" s="180" t="s">
        <v>223</v>
      </c>
      <c r="C20" s="183" t="s">
        <v>224</v>
      </c>
      <c r="D20" s="184">
        <f>H20/H24</f>
        <v>2.661500071067778E-2</v>
      </c>
      <c r="E20" s="178"/>
      <c r="F20" s="239" t="s">
        <v>225</v>
      </c>
      <c r="G20" s="240" t="s">
        <v>226</v>
      </c>
      <c r="H20" s="316">
        <f>'RTP 2020'!E13*(1+'RTP 2020'!E18)</f>
        <v>8255409.6829439998</v>
      </c>
      <c r="J20" s="319"/>
    </row>
    <row r="21" spans="1:16" s="38" customFormat="1" ht="18" x14ac:dyDescent="0.35">
      <c r="B21" s="180" t="s">
        <v>227</v>
      </c>
      <c r="C21" s="183" t="s">
        <v>133</v>
      </c>
      <c r="D21" s="184">
        <f>H21/H24</f>
        <v>4.5945440172363687</v>
      </c>
      <c r="E21" s="178"/>
      <c r="F21" s="239" t="s">
        <v>228</v>
      </c>
      <c r="G21" s="240" t="s">
        <v>229</v>
      </c>
      <c r="H21" s="316">
        <f>'RTP 2020'!E41</f>
        <v>1425130270.7419548</v>
      </c>
      <c r="J21" s="319"/>
    </row>
    <row r="22" spans="1:16" s="38" customFormat="1" ht="18" x14ac:dyDescent="0.35">
      <c r="B22" s="180" t="s">
        <v>256</v>
      </c>
      <c r="C22" s="183" t="s">
        <v>230</v>
      </c>
      <c r="D22" s="184">
        <f>H22/H24</f>
        <v>0</v>
      </c>
      <c r="E22" s="178"/>
      <c r="F22" s="239" t="s">
        <v>242</v>
      </c>
      <c r="G22" s="240" t="s">
        <v>231</v>
      </c>
      <c r="H22" s="322">
        <v>0</v>
      </c>
      <c r="J22" s="319"/>
    </row>
    <row r="23" spans="1:16" s="38" customFormat="1" x14ac:dyDescent="0.2">
      <c r="B23" s="469" t="s">
        <v>232</v>
      </c>
      <c r="C23" s="470"/>
      <c r="D23" s="185">
        <f>SUM(D19:D22)</f>
        <v>4.8684989567948875</v>
      </c>
      <c r="F23" s="241" t="s">
        <v>233</v>
      </c>
      <c r="G23" s="242" t="s">
        <v>234</v>
      </c>
      <c r="H23" s="243">
        <f>SUM(H19:H22)</f>
        <v>1510105292.3587828</v>
      </c>
    </row>
    <row r="24" spans="1:16" s="38" customFormat="1" ht="18" customHeight="1" x14ac:dyDescent="0.2">
      <c r="B24" s="248"/>
      <c r="C24" s="244"/>
      <c r="D24" s="244"/>
      <c r="F24" s="241" t="s">
        <v>255</v>
      </c>
      <c r="G24" s="242" t="s">
        <v>235</v>
      </c>
      <c r="H24" s="243">
        <f>Volume_2020!R116</f>
        <v>310178826.31999999</v>
      </c>
    </row>
    <row r="25" spans="1:16" s="38" customFormat="1" ht="17.25" x14ac:dyDescent="0.2">
      <c r="B25" s="463" t="s">
        <v>297</v>
      </c>
      <c r="C25" s="464"/>
      <c r="D25" s="465"/>
    </row>
    <row r="26" spans="1:16" s="38" customFormat="1" ht="18" x14ac:dyDescent="0.35">
      <c r="B26" s="180" t="s">
        <v>244</v>
      </c>
      <c r="C26" s="183" t="s">
        <v>109</v>
      </c>
      <c r="D26" s="245">
        <f>H29/H35</f>
        <v>0.30889502166810512</v>
      </c>
      <c r="E26" s="151"/>
    </row>
    <row r="27" spans="1:16" s="38" customFormat="1" ht="18" x14ac:dyDescent="0.35">
      <c r="B27" s="182" t="s">
        <v>246</v>
      </c>
      <c r="C27" s="246" t="s">
        <v>247</v>
      </c>
      <c r="D27" s="245">
        <f>H30/H35</f>
        <v>3.8173228574230819E-2</v>
      </c>
      <c r="E27" s="78"/>
    </row>
    <row r="28" spans="1:16" s="38" customFormat="1" ht="18" x14ac:dyDescent="0.35">
      <c r="B28" s="180" t="s">
        <v>248</v>
      </c>
      <c r="C28" s="183" t="s">
        <v>134</v>
      </c>
      <c r="D28" s="245">
        <f>H31/H35</f>
        <v>4.9697293506796534</v>
      </c>
      <c r="E28" s="109"/>
      <c r="F28" s="463" t="s">
        <v>238</v>
      </c>
      <c r="G28" s="464"/>
      <c r="H28" s="465"/>
    </row>
    <row r="29" spans="1:16" s="38" customFormat="1" ht="18" x14ac:dyDescent="0.35">
      <c r="B29" s="180" t="s">
        <v>249</v>
      </c>
      <c r="C29" s="183" t="s">
        <v>250</v>
      </c>
      <c r="D29" s="245">
        <f>H32/H35+H33/H36</f>
        <v>-0.19889598473305975</v>
      </c>
      <c r="E29" s="327"/>
      <c r="F29" s="239" t="s">
        <v>221</v>
      </c>
      <c r="G29" s="240" t="s">
        <v>239</v>
      </c>
      <c r="H29" s="316">
        <f>'VPA 2021'!C33</f>
        <v>95812695.277103812</v>
      </c>
      <c r="I29" s="319"/>
      <c r="J29" s="328"/>
      <c r="K29" s="369"/>
      <c r="N29" s="110"/>
      <c r="O29" s="111"/>
      <c r="P29" s="108"/>
    </row>
    <row r="30" spans="1:16" s="38" customFormat="1" ht="18" x14ac:dyDescent="0.2">
      <c r="B30" s="469" t="s">
        <v>251</v>
      </c>
      <c r="C30" s="470" t="s">
        <v>252</v>
      </c>
      <c r="D30" s="185">
        <f>SUM(D26:D29)</f>
        <v>5.1179016161889299</v>
      </c>
      <c r="E30" s="327"/>
      <c r="F30" s="239" t="s">
        <v>225</v>
      </c>
      <c r="G30" s="240" t="s">
        <v>240</v>
      </c>
      <c r="H30" s="316">
        <f>'Bonus Desconto'!K13</f>
        <v>11840527.236000001</v>
      </c>
      <c r="I30" s="317"/>
    </row>
    <row r="31" spans="1:16" s="41" customFormat="1" ht="18" x14ac:dyDescent="0.25">
      <c r="B31" s="463" t="s">
        <v>254</v>
      </c>
      <c r="C31" s="465"/>
      <c r="D31" s="247">
        <f>D30/D23-1</f>
        <v>5.1227834617475931E-2</v>
      </c>
      <c r="E31" s="318"/>
      <c r="F31" s="239" t="s">
        <v>228</v>
      </c>
      <c r="G31" s="240" t="s">
        <v>241</v>
      </c>
      <c r="H31" s="316">
        <f>'VPB 2021'!C25*'RTA 2021'!H35</f>
        <v>1541504817.1218705</v>
      </c>
      <c r="I31" s="318"/>
      <c r="J31" s="323"/>
      <c r="K31" s="324"/>
    </row>
    <row r="32" spans="1:16" ht="20.45" customHeight="1" x14ac:dyDescent="0.25">
      <c r="A32" s="1"/>
      <c r="E32" s="1"/>
      <c r="F32" s="239" t="s">
        <v>302</v>
      </c>
      <c r="G32" s="240" t="s">
        <v>243</v>
      </c>
      <c r="H32" s="316">
        <f>'CF 2021'!C10</f>
        <v>-29423676.225332055</v>
      </c>
      <c r="I32" s="325"/>
    </row>
    <row r="33" spans="1:11" ht="18" x14ac:dyDescent="0.25">
      <c r="A33" s="1"/>
      <c r="B33" s="463" t="s">
        <v>298</v>
      </c>
      <c r="C33" s="464"/>
      <c r="D33" s="465"/>
      <c r="E33" s="1"/>
      <c r="F33" s="239" t="s">
        <v>300</v>
      </c>
      <c r="G33" s="240" t="s">
        <v>243</v>
      </c>
      <c r="H33" s="316">
        <f>'CF 2021'!H38</f>
        <v>-27935606.135564726</v>
      </c>
      <c r="K33" s="176"/>
    </row>
    <row r="34" spans="1:11" ht="18" x14ac:dyDescent="0.35">
      <c r="A34" s="1"/>
      <c r="B34" s="180" t="s">
        <v>244</v>
      </c>
      <c r="C34" s="183" t="s">
        <v>109</v>
      </c>
      <c r="D34" s="245">
        <f>H29/H35</f>
        <v>0.30889502166810512</v>
      </c>
      <c r="E34" s="1"/>
      <c r="F34" s="241" t="s">
        <v>233</v>
      </c>
      <c r="G34" s="242" t="s">
        <v>234</v>
      </c>
      <c r="H34" s="243">
        <f>SUM(H29:H33)</f>
        <v>1591798757.2740774</v>
      </c>
      <c r="I34" s="325"/>
    </row>
    <row r="35" spans="1:11" ht="18" x14ac:dyDescent="0.35">
      <c r="A35" s="1"/>
      <c r="B35" s="182" t="s">
        <v>246</v>
      </c>
      <c r="C35" s="246" t="s">
        <v>247</v>
      </c>
      <c r="D35" s="245">
        <f>H30/H35</f>
        <v>3.8173228574230819E-2</v>
      </c>
      <c r="E35" s="1"/>
      <c r="F35" s="241" t="s">
        <v>245</v>
      </c>
      <c r="G35" s="242" t="s">
        <v>235</v>
      </c>
      <c r="H35" s="243">
        <f>'VPA 2021'!C12</f>
        <v>310178826.31999999</v>
      </c>
    </row>
    <row r="36" spans="1:11" ht="18" x14ac:dyDescent="0.35">
      <c r="A36" s="1"/>
      <c r="B36" s="180" t="s">
        <v>248</v>
      </c>
      <c r="C36" s="183" t="s">
        <v>134</v>
      </c>
      <c r="D36" s="245">
        <f>H31/H35</f>
        <v>4.9697293506796534</v>
      </c>
      <c r="E36" s="1"/>
      <c r="F36" s="241" t="s">
        <v>236</v>
      </c>
      <c r="G36" s="242" t="s">
        <v>237</v>
      </c>
      <c r="H36" s="243">
        <f>'CF 2021'!C13</f>
        <v>268519626.38999999</v>
      </c>
    </row>
    <row r="37" spans="1:11" ht="18" x14ac:dyDescent="0.35">
      <c r="A37" s="1"/>
      <c r="B37" s="180" t="s">
        <v>249</v>
      </c>
      <c r="C37" s="183" t="s">
        <v>250</v>
      </c>
      <c r="D37" s="245">
        <f>H32/H35</f>
        <v>-9.4860363534217326E-2</v>
      </c>
      <c r="E37" s="1"/>
      <c r="H37" s="29"/>
    </row>
    <row r="38" spans="1:11" x14ac:dyDescent="0.25">
      <c r="A38" s="1"/>
      <c r="B38" s="469" t="s">
        <v>251</v>
      </c>
      <c r="C38" s="470"/>
      <c r="D38" s="185">
        <f>SUM(D34:D37)</f>
        <v>5.2219372373877722</v>
      </c>
      <c r="E38" s="1"/>
      <c r="F38" s="329"/>
      <c r="G38" s="330"/>
      <c r="H38" s="330"/>
      <c r="I38" s="330"/>
    </row>
    <row r="39" spans="1:11" x14ac:dyDescent="0.25">
      <c r="A39" s="1"/>
      <c r="B39" s="463" t="s">
        <v>253</v>
      </c>
      <c r="C39" s="465"/>
      <c r="D39" s="247">
        <f>D38/D23-1</f>
        <v>7.2596971618859252E-2</v>
      </c>
      <c r="E39" s="1"/>
      <c r="F39" s="118"/>
      <c r="G39" s="372"/>
      <c r="H39" s="372"/>
      <c r="I39" s="372"/>
      <c r="J39" s="176"/>
    </row>
    <row r="40" spans="1:11" ht="19.5" x14ac:dyDescent="0.25">
      <c r="A40" s="1"/>
      <c r="B40" s="1"/>
      <c r="C40" s="1"/>
      <c r="D40" s="1"/>
      <c r="E40" s="1"/>
      <c r="F40" s="372"/>
      <c r="G40" s="373"/>
      <c r="H40" s="373"/>
      <c r="I40" s="374"/>
    </row>
    <row r="41" spans="1:11" ht="19.5" x14ac:dyDescent="0.25">
      <c r="F41" s="372"/>
      <c r="G41" s="373"/>
      <c r="H41" s="373"/>
      <c r="I41" s="374"/>
    </row>
    <row r="42" spans="1:11" x14ac:dyDescent="0.25">
      <c r="F42" s="329"/>
      <c r="G42" s="330"/>
      <c r="H42" s="330"/>
      <c r="I42" s="330"/>
    </row>
    <row r="43" spans="1:11" ht="19.5" x14ac:dyDescent="0.25">
      <c r="F43" s="330"/>
      <c r="G43" s="331"/>
      <c r="H43" s="331"/>
      <c r="I43" s="332"/>
    </row>
    <row r="44" spans="1:11" ht="19.5" x14ac:dyDescent="0.25">
      <c r="F44" s="330"/>
      <c r="G44" s="331"/>
      <c r="H44" s="331"/>
      <c r="I44" s="332"/>
    </row>
  </sheetData>
  <mergeCells count="20">
    <mergeCell ref="B39:C39"/>
    <mergeCell ref="B38:C38"/>
    <mergeCell ref="B18:D18"/>
    <mergeCell ref="B23:C23"/>
    <mergeCell ref="F18:H18"/>
    <mergeCell ref="B25:D25"/>
    <mergeCell ref="B30:C30"/>
    <mergeCell ref="F28:H28"/>
    <mergeCell ref="B14:D14"/>
    <mergeCell ref="B15:D15"/>
    <mergeCell ref="B3:E3"/>
    <mergeCell ref="B33:D33"/>
    <mergeCell ref="B7:D7"/>
    <mergeCell ref="B8:D8"/>
    <mergeCell ref="B9:D9"/>
    <mergeCell ref="B10:D10"/>
    <mergeCell ref="B11:D11"/>
    <mergeCell ref="B12:D12"/>
    <mergeCell ref="B13:D13"/>
    <mergeCell ref="B31:C3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b520b24-8996-453a-8c5e-60294695dd12">
      <UserInfo>
        <DisplayName>Cássio Leandro Cossenzo</DisplayName>
        <AccountId>20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5FB8F595771546BCC83FFC58F4EB83" ma:contentTypeVersion="9" ma:contentTypeDescription="Crie um novo documento." ma:contentTypeScope="" ma:versionID="19fda71d3bc3048aa1782e505ce9fb16">
  <xsd:schema xmlns:xsd="http://www.w3.org/2001/XMLSchema" xmlns:xs="http://www.w3.org/2001/XMLSchema" xmlns:p="http://schemas.microsoft.com/office/2006/metadata/properties" xmlns:ns2="4b520b24-8996-453a-8c5e-60294695dd12" xmlns:ns3="12eaf6f9-417e-4436-811b-51d381a4d0a9" targetNamespace="http://schemas.microsoft.com/office/2006/metadata/properties" ma:root="true" ma:fieldsID="a8e4c5e70730bb0601a39fa79c69d280" ns2:_="" ns3:_="">
    <xsd:import namespace="4b520b24-8996-453a-8c5e-60294695dd12"/>
    <xsd:import namespace="12eaf6f9-417e-4436-811b-51d381a4d0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20b24-8996-453a-8c5e-60294695dd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af6f9-417e-4436-811b-51d381a4d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E5C07B-A263-424C-869C-57429B3A7A91}">
  <ds:schemaRefs>
    <ds:schemaRef ds:uri="http://www.w3.org/XML/1998/namespace"/>
    <ds:schemaRef ds:uri="http://schemas.microsoft.com/office/2006/documentManagement/types"/>
    <ds:schemaRef ds:uri="http://purl.org/dc/terms/"/>
    <ds:schemaRef ds:uri="4b520b24-8996-453a-8c5e-60294695dd12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12eaf6f9-417e-4436-811b-51d381a4d0a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DF9B725-14FE-4C9C-A0D1-54DA2891A9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6C373A-DE5A-4C6D-A81F-8EEA0A12A9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520b24-8996-453a-8c5e-60294695dd12"/>
    <ds:schemaRef ds:uri="12eaf6f9-417e-4436-811b-51d381a4d0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Fórmulas</vt:lpstr>
      <vt:lpstr>Indices_2021</vt:lpstr>
      <vt:lpstr>Volume_2020</vt:lpstr>
      <vt:lpstr>Bonus Desconto</vt:lpstr>
      <vt:lpstr>VPA 2021</vt:lpstr>
      <vt:lpstr>VPB 2021</vt:lpstr>
      <vt:lpstr>CF 2021</vt:lpstr>
      <vt:lpstr>Tarifa_contingência</vt:lpstr>
      <vt:lpstr>RTA 2021</vt:lpstr>
      <vt:lpstr>RTP 2020</vt:lpstr>
      <vt:lpstr>'RTA 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cassio.leandro</dc:creator>
  <cp:keywords/>
  <dc:description/>
  <cp:lastModifiedBy> </cp:lastModifiedBy>
  <cp:revision/>
  <dcterms:created xsi:type="dcterms:W3CDTF">2013-12-30T11:25:26Z</dcterms:created>
  <dcterms:modified xsi:type="dcterms:W3CDTF">2021-04-30T17:05:18Z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0x010100695FB8F595771546BCC83FFC58F4EB83</vt:lpwstr>
  </property>
  <property fmtid="{D5CDD505-2E9C-101B-9397-08002B2CF9AE}" pid="3" name="AuthorIds_UIVersion_8192">
    <vt:lpwstr>165</vt:lpwstr>
  </property>
</Properties>
</file>