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adasa4.sharepoint.com/sites/SEF/COEE IRT  RTP/3ª RTP CAESB/Resultados RTP + RTA - Pré AP/"/>
    </mc:Choice>
  </mc:AlternateContent>
  <xr:revisionPtr revIDLastSave="1857" documentId="8_{BAC6D29D-63F7-486B-A0E3-F969F49A997B}" xr6:coauthVersionLast="46" xr6:coauthVersionMax="46" xr10:uidLastSave="{67F849B6-0142-44C1-B68C-02250E0B5B1E}"/>
  <bookViews>
    <workbookView xWindow="-108" yWindow="-108" windowWidth="23256" windowHeight="12576" tabRatio="793" activeTab="8" xr2:uid="{00000000-000D-0000-FFFF-FFFF00000000}"/>
  </bookViews>
  <sheets>
    <sheet name="Fórmulas" sheetId="19" r:id="rId1"/>
    <sheet name="Indices_2021" sheetId="2" r:id="rId2"/>
    <sheet name="Volume_2020" sheetId="4" r:id="rId3"/>
    <sheet name="Bonus Desconto" sheetId="6" r:id="rId4"/>
    <sheet name="VPA 2021" sheetId="13" r:id="rId5"/>
    <sheet name="VPB 2021" sheetId="14" r:id="rId6"/>
    <sheet name="CF 2021" sheetId="26" r:id="rId7"/>
    <sheet name="CF 2020" sheetId="17" r:id="rId8"/>
    <sheet name="RTA 2021" sheetId="1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R57_2007" localSheetId="0">[1]Parâmetros!#REF!</definedName>
    <definedName name="_R57_2007">[1]Parâmetros!#REF!</definedName>
    <definedName name="AdicionalIR" localSheetId="0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0">#REF!</definedName>
    <definedName name="_xlnm.Print_Area" localSheetId="8">'RTA 2021'!$AO$19:$AQ$22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 localSheetId="0">[3]DRE!#REF!</definedName>
    <definedName name="B">[3]DRE!#REF!</definedName>
    <definedName name="BaseIR" localSheetId="0">#REF!</definedName>
    <definedName name="BaseIR">#REF!</definedName>
    <definedName name="Beneficio">'[2]P-Indices'!$D$20</definedName>
    <definedName name="Caixa">#REF!</definedName>
    <definedName name="Capacitação">'[2]P-Indices'!$D$18</definedName>
    <definedName name="CAPM" localSheetId="0">#REF!</definedName>
    <definedName name="CAPM">#REF!</definedName>
    <definedName name="CRA">'[2]C-Teleatendimento'!$D$9</definedName>
    <definedName name="CS_NEG" localSheetId="0">#REF!</definedName>
    <definedName name="CS_NEG">#REF!</definedName>
    <definedName name="CS_PERC" localSheetId="0">#REF!</definedName>
    <definedName name="CS_PERC">#REF!</definedName>
    <definedName name="CTIPO" localSheetId="0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0">#REF!</definedName>
    <definedName name="G">#REF!</definedName>
    <definedName name="gfhfgh">'[2]E-AdmSist'!$D$44</definedName>
    <definedName name="GR" localSheetId="0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0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0">#REF!</definedName>
    <definedName name="ir_perpetuo">#REF!</definedName>
    <definedName name="Lig_Ativ_Esg">'[2]E-Economias'!$J$39</definedName>
    <definedName name="Ligacoes_Tot">'[2]E-Economias'!$J$26</definedName>
    <definedName name="Lucro" localSheetId="0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0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 localSheetId="0">[4]Controle!#REF!</definedName>
    <definedName name="model">[4]Controle!#REF!</definedName>
    <definedName name="moeda" localSheetId="0">#REF!</definedName>
    <definedName name="moeda">#REF!</definedName>
    <definedName name="o">'[5]T-Bonds'!$E$6</definedName>
    <definedName name="oi">#REF!</definedName>
    <definedName name="Pensao">'[2]P-Indices'!$D$21</definedName>
    <definedName name="PeriodoTaxa" localSheetId="0">#REF!</definedName>
    <definedName name="PeriodoTaxa">#REF!</definedName>
    <definedName name="perpetuo" localSheetId="0">[3]DRE!#REF!</definedName>
    <definedName name="perpetuo">[3]DRE!#REF!</definedName>
    <definedName name="ponderada_abaixo" localSheetId="0">#REF!</definedName>
    <definedName name="ponderada_abaixo">#REF!</definedName>
    <definedName name="ponderada_acima" localSheetId="0">#REF!</definedName>
    <definedName name="ponderada_acima">#REF!</definedName>
    <definedName name="ponderada_simples" localSheetId="0">#REF!</definedName>
    <definedName name="ponderada_simples">#REF!</definedName>
    <definedName name="PREJFISC_ACUM" localSheetId="0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 localSheetId="0">[4]BETA!#REF!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0">#REF!</definedName>
    <definedName name="TaxaDesconto">#REF!</definedName>
    <definedName name="_xlnm.Print_Titles" localSheetId="0">#REF!</definedName>
    <definedName name="_xlnm.Print_Titles">#REF!</definedName>
    <definedName name="TMA">'[2]E-Estrutura'!$D$457</definedName>
    <definedName name="Tx_Desc" localSheetId="0">[3]DRE!#REF!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6" l="1"/>
  <c r="I18" i="26"/>
  <c r="I17" i="26"/>
  <c r="I16" i="26"/>
  <c r="I15" i="26"/>
  <c r="I14" i="26"/>
  <c r="I13" i="26"/>
  <c r="I12" i="26"/>
  <c r="I11" i="26"/>
  <c r="I10" i="26"/>
  <c r="I9" i="26"/>
  <c r="I8" i="26"/>
  <c r="I7" i="26"/>
  <c r="H21" i="15" l="1"/>
  <c r="J13" i="17"/>
  <c r="J18" i="17" s="1"/>
  <c r="J19" i="17" s="1"/>
  <c r="H23" i="15" s="1"/>
  <c r="H26" i="15"/>
  <c r="K17" i="17"/>
  <c r="K10" i="4"/>
  <c r="J30" i="2"/>
  <c r="Z9" i="26"/>
  <c r="C18" i="13" s="1"/>
  <c r="C10" i="13"/>
  <c r="C12" i="13"/>
  <c r="E10" i="4" l="1"/>
  <c r="F10" i="4"/>
  <c r="G10" i="4"/>
  <c r="H10" i="4"/>
  <c r="I10" i="4"/>
  <c r="J10" i="4"/>
  <c r="L10" i="4"/>
  <c r="M10" i="4"/>
  <c r="N10" i="4"/>
  <c r="O10" i="4"/>
  <c r="E11" i="4"/>
  <c r="F11" i="4"/>
  <c r="G11" i="4"/>
  <c r="H11" i="4"/>
  <c r="I11" i="4"/>
  <c r="J11" i="4"/>
  <c r="K11" i="4"/>
  <c r="L11" i="4"/>
  <c r="M11" i="4"/>
  <c r="N11" i="4"/>
  <c r="O11" i="4"/>
  <c r="D11" i="4"/>
  <c r="D10" i="4"/>
  <c r="H22" i="15" l="1"/>
  <c r="H24" i="15" l="1"/>
  <c r="Y15" i="26"/>
  <c r="X15" i="26"/>
  <c r="W15" i="26"/>
  <c r="V15" i="26"/>
  <c r="U15" i="26"/>
  <c r="T15" i="26"/>
  <c r="S15" i="26"/>
  <c r="R15" i="26"/>
  <c r="Q15" i="26"/>
  <c r="P15" i="26"/>
  <c r="O15" i="26"/>
  <c r="N15" i="26"/>
  <c r="Y10" i="26"/>
  <c r="X10" i="26"/>
  <c r="W10" i="26"/>
  <c r="V10" i="26"/>
  <c r="U10" i="26"/>
  <c r="T10" i="26"/>
  <c r="S10" i="26"/>
  <c r="Q10" i="26"/>
  <c r="P10" i="26"/>
  <c r="O10" i="26"/>
  <c r="N10" i="26"/>
  <c r="Z7" i="26"/>
  <c r="M5" i="26"/>
  <c r="Z15" i="26" l="1"/>
  <c r="C13" i="13" s="1"/>
  <c r="Z8" i="26"/>
  <c r="R10" i="26"/>
  <c r="Z10" i="26" l="1"/>
  <c r="C17" i="13"/>
  <c r="C19" i="13" s="1"/>
  <c r="N8" i="6"/>
  <c r="M8" i="6"/>
  <c r="L8" i="6"/>
  <c r="K8" i="6"/>
  <c r="P82" i="4" l="1"/>
  <c r="P81" i="4"/>
  <c r="P79" i="4"/>
  <c r="P78" i="4"/>
  <c r="P76" i="4"/>
  <c r="P75" i="4"/>
  <c r="P51" i="4"/>
  <c r="P48" i="4"/>
  <c r="P47" i="4"/>
  <c r="P45" i="4"/>
  <c r="P44" i="4"/>
  <c r="P42" i="4"/>
  <c r="P41" i="4"/>
  <c r="O51" i="4" l="1"/>
  <c r="N51" i="4"/>
  <c r="M51" i="4"/>
  <c r="L51" i="4"/>
  <c r="K51" i="4"/>
  <c r="I51" i="4"/>
  <c r="G51" i="4"/>
  <c r="F51" i="4"/>
  <c r="E51" i="4"/>
  <c r="D51" i="4"/>
  <c r="R51" i="4" l="1"/>
  <c r="Q51" i="4"/>
  <c r="O82" i="4" l="1"/>
  <c r="O81" i="4"/>
  <c r="O79" i="4"/>
  <c r="O78" i="4"/>
  <c r="O76" i="4"/>
  <c r="O75" i="4"/>
  <c r="O48" i="4"/>
  <c r="O47" i="4"/>
  <c r="O45" i="4"/>
  <c r="O44" i="4"/>
  <c r="O42" i="4"/>
  <c r="O41" i="4"/>
  <c r="N82" i="4"/>
  <c r="N81" i="4"/>
  <c r="N79" i="4"/>
  <c r="N78" i="4"/>
  <c r="N76" i="4"/>
  <c r="N75" i="4"/>
  <c r="N48" i="4"/>
  <c r="N47" i="4"/>
  <c r="N45" i="4"/>
  <c r="N44" i="4"/>
  <c r="N42" i="4"/>
  <c r="N41" i="4"/>
  <c r="M82" i="4"/>
  <c r="M81" i="4"/>
  <c r="M79" i="4"/>
  <c r="M78" i="4"/>
  <c r="M76" i="4"/>
  <c r="M75" i="4"/>
  <c r="M48" i="4"/>
  <c r="M47" i="4"/>
  <c r="M45" i="4"/>
  <c r="M44" i="4"/>
  <c r="M42" i="4"/>
  <c r="M41" i="4"/>
  <c r="L82" i="4"/>
  <c r="L81" i="4"/>
  <c r="L79" i="4"/>
  <c r="L78" i="4"/>
  <c r="L76" i="4"/>
  <c r="L75" i="4"/>
  <c r="L48" i="4"/>
  <c r="L47" i="4"/>
  <c r="L45" i="4"/>
  <c r="L44" i="4"/>
  <c r="L42" i="4"/>
  <c r="L41" i="4"/>
  <c r="K82" i="4"/>
  <c r="K81" i="4"/>
  <c r="K79" i="4"/>
  <c r="K78" i="4"/>
  <c r="K76" i="4"/>
  <c r="K75" i="4"/>
  <c r="K48" i="4"/>
  <c r="K47" i="4"/>
  <c r="K45" i="4"/>
  <c r="K44" i="4"/>
  <c r="K42" i="4"/>
  <c r="K41" i="4"/>
  <c r="J82" i="4"/>
  <c r="J81" i="4"/>
  <c r="J79" i="4"/>
  <c r="J78" i="4"/>
  <c r="R78" i="4" s="1"/>
  <c r="J76" i="4"/>
  <c r="J75" i="4"/>
  <c r="R75" i="4" s="1"/>
  <c r="J48" i="4"/>
  <c r="J47" i="4"/>
  <c r="J45" i="4"/>
  <c r="J44" i="4"/>
  <c r="J42" i="4"/>
  <c r="J41" i="4"/>
  <c r="I82" i="4"/>
  <c r="R82" i="4" s="1"/>
  <c r="I79" i="4"/>
  <c r="I76" i="4"/>
  <c r="I48" i="4"/>
  <c r="I45" i="4"/>
  <c r="R45" i="4" s="1"/>
  <c r="I42" i="4"/>
  <c r="Q81" i="4"/>
  <c r="Q78" i="4"/>
  <c r="Q75" i="4"/>
  <c r="Q73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Q64" i="4"/>
  <c r="Q63" i="4"/>
  <c r="R62" i="4"/>
  <c r="Q62" i="4"/>
  <c r="R61" i="4"/>
  <c r="Q61" i="4"/>
  <c r="R60" i="4"/>
  <c r="Q60" i="4"/>
  <c r="R59" i="4"/>
  <c r="Q59" i="4"/>
  <c r="R58" i="4"/>
  <c r="Q58" i="4"/>
  <c r="R57" i="4"/>
  <c r="Q57" i="4"/>
  <c r="R37" i="4"/>
  <c r="R36" i="4"/>
  <c r="R35" i="4"/>
  <c r="R34" i="4"/>
  <c r="R33" i="4"/>
  <c r="R32" i="4"/>
  <c r="Q47" i="4"/>
  <c r="Q44" i="4"/>
  <c r="Q41" i="4"/>
  <c r="Q39" i="4"/>
  <c r="Q38" i="4"/>
  <c r="Q37" i="4"/>
  <c r="Q36" i="4"/>
  <c r="Q35" i="4"/>
  <c r="Q34" i="4"/>
  <c r="Q33" i="4"/>
  <c r="Q32" i="4"/>
  <c r="R24" i="4"/>
  <c r="R25" i="4"/>
  <c r="R26" i="4"/>
  <c r="R27" i="4"/>
  <c r="R28" i="4"/>
  <c r="R23" i="4"/>
  <c r="Q24" i="4"/>
  <c r="Q25" i="4"/>
  <c r="Q26" i="4"/>
  <c r="Q27" i="4"/>
  <c r="Q28" i="4"/>
  <c r="Q29" i="4"/>
  <c r="Q30" i="4"/>
  <c r="Q23" i="4"/>
  <c r="G82" i="4"/>
  <c r="G79" i="4"/>
  <c r="G76" i="4"/>
  <c r="G48" i="4"/>
  <c r="G45" i="4"/>
  <c r="G42" i="4"/>
  <c r="F82" i="4"/>
  <c r="F79" i="4"/>
  <c r="F76" i="4"/>
  <c r="F48" i="4"/>
  <c r="F45" i="4"/>
  <c r="R44" i="4" l="1"/>
  <c r="R46" i="4" s="1"/>
  <c r="R81" i="4"/>
  <c r="R83" i="4" s="1"/>
  <c r="R79" i="4"/>
  <c r="R80" i="4" s="1"/>
  <c r="R48" i="4"/>
  <c r="R47" i="4"/>
  <c r="R41" i="4"/>
  <c r="Q65" i="4"/>
  <c r="Q74" i="4"/>
  <c r="Q31" i="4"/>
  <c r="Q40" i="4"/>
  <c r="R76" i="4"/>
  <c r="R77" i="4" s="1"/>
  <c r="R74" i="4"/>
  <c r="R65" i="4"/>
  <c r="R40" i="4"/>
  <c r="R31" i="4"/>
  <c r="R42" i="4" l="1"/>
  <c r="R43" i="4" s="1"/>
  <c r="R49" i="4"/>
  <c r="F42" i="4" l="1"/>
  <c r="F40" i="4"/>
  <c r="E82" i="4" l="1"/>
  <c r="E79" i="4"/>
  <c r="E76" i="4"/>
  <c r="E48" i="4"/>
  <c r="E45" i="4"/>
  <c r="E42" i="4"/>
  <c r="D82" i="4"/>
  <c r="D79" i="4"/>
  <c r="D76" i="4"/>
  <c r="D48" i="4"/>
  <c r="D45" i="4"/>
  <c r="D42" i="4"/>
  <c r="E22" i="2"/>
  <c r="F11" i="14" s="1"/>
  <c r="Q79" i="4" l="1"/>
  <c r="Q80" i="4" s="1"/>
  <c r="Q76" i="4"/>
  <c r="Q77" i="4" s="1"/>
  <c r="Q42" i="4"/>
  <c r="Q43" i="4" s="1"/>
  <c r="Q82" i="4"/>
  <c r="Q83" i="4" s="1"/>
  <c r="Q45" i="4"/>
  <c r="Q46" i="4" s="1"/>
  <c r="Q48" i="4"/>
  <c r="Q49" i="4" s="1"/>
  <c r="R84" i="4" l="1"/>
  <c r="R52" i="4"/>
  <c r="R50" i="4"/>
  <c r="C22" i="2"/>
  <c r="F9" i="14" l="1"/>
  <c r="D31" i="4" l="1"/>
  <c r="D40" i="4"/>
  <c r="D43" i="4"/>
  <c r="D46" i="4"/>
  <c r="D49" i="4"/>
  <c r="E31" i="4"/>
  <c r="E40" i="4"/>
  <c r="E43" i="4"/>
  <c r="E46" i="4"/>
  <c r="E49" i="4"/>
  <c r="F31" i="4"/>
  <c r="F43" i="4"/>
  <c r="F52" i="4" s="1"/>
  <c r="P11" i="26" s="1"/>
  <c r="F46" i="4"/>
  <c r="F49" i="4"/>
  <c r="G31" i="4"/>
  <c r="G40" i="4"/>
  <c r="G52" i="4" s="1"/>
  <c r="Q11" i="26" s="1"/>
  <c r="G43" i="4"/>
  <c r="G46" i="4"/>
  <c r="G49" i="4"/>
  <c r="I31" i="4"/>
  <c r="I40" i="4"/>
  <c r="I43" i="4"/>
  <c r="I46" i="4"/>
  <c r="I49" i="4"/>
  <c r="J31" i="4"/>
  <c r="J40" i="4"/>
  <c r="J43" i="4"/>
  <c r="J46" i="4"/>
  <c r="J49" i="4"/>
  <c r="K31" i="4"/>
  <c r="K40" i="4"/>
  <c r="K43" i="4"/>
  <c r="K46" i="4"/>
  <c r="K49" i="4"/>
  <c r="L31" i="4"/>
  <c r="L40" i="4"/>
  <c r="L52" i="4" s="1"/>
  <c r="U11" i="26" s="1"/>
  <c r="L43" i="4"/>
  <c r="L46" i="4"/>
  <c r="L49" i="4"/>
  <c r="M31" i="4"/>
  <c r="M40" i="4"/>
  <c r="M43" i="4"/>
  <c r="M46" i="4"/>
  <c r="M49" i="4"/>
  <c r="N31" i="4"/>
  <c r="N40" i="4"/>
  <c r="N43" i="4"/>
  <c r="N46" i="4"/>
  <c r="N49" i="4"/>
  <c r="O31" i="4"/>
  <c r="O40" i="4"/>
  <c r="O43" i="4"/>
  <c r="O46" i="4"/>
  <c r="O49" i="4"/>
  <c r="P31" i="4"/>
  <c r="P40" i="4"/>
  <c r="P43" i="4"/>
  <c r="P46" i="4"/>
  <c r="P49" i="4"/>
  <c r="E65" i="4"/>
  <c r="E74" i="4"/>
  <c r="E77" i="4"/>
  <c r="E80" i="4"/>
  <c r="E83" i="4"/>
  <c r="G110" i="4"/>
  <c r="L110" i="4"/>
  <c r="P110" i="4"/>
  <c r="D65" i="4"/>
  <c r="F65" i="4"/>
  <c r="G65" i="4"/>
  <c r="I65" i="4"/>
  <c r="J65" i="4"/>
  <c r="K65" i="4"/>
  <c r="L65" i="4"/>
  <c r="M65" i="4"/>
  <c r="N65" i="4"/>
  <c r="O65" i="4"/>
  <c r="P65" i="4"/>
  <c r="F83" i="4"/>
  <c r="J113" i="4"/>
  <c r="K83" i="4"/>
  <c r="N113" i="4"/>
  <c r="O83" i="4"/>
  <c r="F74" i="4"/>
  <c r="F77" i="4"/>
  <c r="F80" i="4"/>
  <c r="G74" i="4"/>
  <c r="G77" i="4"/>
  <c r="G83" i="4"/>
  <c r="I74" i="4"/>
  <c r="I77" i="4"/>
  <c r="I80" i="4"/>
  <c r="I83" i="4"/>
  <c r="J74" i="4"/>
  <c r="J77" i="4"/>
  <c r="J80" i="4"/>
  <c r="J83" i="4"/>
  <c r="K74" i="4"/>
  <c r="K77" i="4"/>
  <c r="K80" i="4"/>
  <c r="L74" i="4"/>
  <c r="L77" i="4"/>
  <c r="L83" i="4"/>
  <c r="M74" i="4"/>
  <c r="M77" i="4"/>
  <c r="M80" i="4"/>
  <c r="M83" i="4"/>
  <c r="N74" i="4"/>
  <c r="N77" i="4"/>
  <c r="N80" i="4"/>
  <c r="N83" i="4"/>
  <c r="O74" i="4"/>
  <c r="O77" i="4"/>
  <c r="O80" i="4"/>
  <c r="P74" i="4"/>
  <c r="P77" i="4"/>
  <c r="P83" i="4"/>
  <c r="D74" i="4"/>
  <c r="D77" i="4"/>
  <c r="D80" i="4"/>
  <c r="D83" i="4"/>
  <c r="D89" i="4"/>
  <c r="D90" i="4"/>
  <c r="D91" i="4"/>
  <c r="D92" i="4"/>
  <c r="D93" i="4"/>
  <c r="D94" i="4"/>
  <c r="D95" i="4"/>
  <c r="D88" i="4"/>
  <c r="D97" i="4"/>
  <c r="D98" i="4"/>
  <c r="D99" i="4"/>
  <c r="D100" i="4"/>
  <c r="D101" i="4"/>
  <c r="D102" i="4"/>
  <c r="D103" i="4"/>
  <c r="D104" i="4"/>
  <c r="D106" i="4"/>
  <c r="D107" i="4"/>
  <c r="D109" i="4"/>
  <c r="D110" i="4"/>
  <c r="D112" i="4"/>
  <c r="H8" i="6"/>
  <c r="H9" i="6"/>
  <c r="H10" i="6"/>
  <c r="H11" i="6"/>
  <c r="H12" i="6"/>
  <c r="H13" i="6"/>
  <c r="H14" i="6"/>
  <c r="H15" i="6"/>
  <c r="H16" i="6"/>
  <c r="H17" i="6"/>
  <c r="H18" i="6"/>
  <c r="H19" i="6"/>
  <c r="H23" i="6"/>
  <c r="H24" i="6"/>
  <c r="H25" i="6"/>
  <c r="H26" i="6"/>
  <c r="H27" i="6"/>
  <c r="H28" i="6"/>
  <c r="H29" i="6"/>
  <c r="H30" i="6"/>
  <c r="H31" i="6"/>
  <c r="H32" i="6"/>
  <c r="H33" i="6"/>
  <c r="H34" i="6"/>
  <c r="H38" i="6"/>
  <c r="H39" i="6"/>
  <c r="H40" i="6"/>
  <c r="H41" i="6"/>
  <c r="H42" i="6"/>
  <c r="H43" i="6"/>
  <c r="H44" i="6"/>
  <c r="H45" i="6"/>
  <c r="H46" i="6"/>
  <c r="H47" i="6"/>
  <c r="H48" i="6"/>
  <c r="H49" i="6"/>
  <c r="H53" i="6"/>
  <c r="H54" i="6"/>
  <c r="H55" i="6"/>
  <c r="H56" i="6"/>
  <c r="H57" i="6"/>
  <c r="H58" i="6"/>
  <c r="H59" i="6"/>
  <c r="H60" i="6"/>
  <c r="H61" i="6"/>
  <c r="H62" i="6"/>
  <c r="H63" i="6"/>
  <c r="H64" i="6"/>
  <c r="L21" i="2"/>
  <c r="I30" i="2" s="1"/>
  <c r="E90" i="4"/>
  <c r="K21" i="2"/>
  <c r="H30" i="2" s="1"/>
  <c r="I21" i="2"/>
  <c r="I31" i="2" s="1"/>
  <c r="H21" i="2"/>
  <c r="H31" i="2" s="1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D22" i="4"/>
  <c r="D56" i="4" s="1"/>
  <c r="D87" i="4" s="1"/>
  <c r="D14" i="14"/>
  <c r="D22" i="2"/>
  <c r="E88" i="4"/>
  <c r="E89" i="4"/>
  <c r="E91" i="4"/>
  <c r="E92" i="4"/>
  <c r="E93" i="4"/>
  <c r="E94" i="4"/>
  <c r="E95" i="4"/>
  <c r="E97" i="4"/>
  <c r="E98" i="4"/>
  <c r="E99" i="4"/>
  <c r="E100" i="4"/>
  <c r="E101" i="4"/>
  <c r="E102" i="4"/>
  <c r="E103" i="4"/>
  <c r="E104" i="4"/>
  <c r="E106" i="4"/>
  <c r="E107" i="4"/>
  <c r="E109" i="4"/>
  <c r="E110" i="4"/>
  <c r="E112" i="4"/>
  <c r="E113" i="4"/>
  <c r="F88" i="4"/>
  <c r="F89" i="4"/>
  <c r="F90" i="4"/>
  <c r="F91" i="4"/>
  <c r="F92" i="4"/>
  <c r="F93" i="4"/>
  <c r="F94" i="4"/>
  <c r="F95" i="4"/>
  <c r="F97" i="4"/>
  <c r="F98" i="4"/>
  <c r="F99" i="4"/>
  <c r="F100" i="4"/>
  <c r="F101" i="4"/>
  <c r="F102" i="4"/>
  <c r="F103" i="4"/>
  <c r="F104" i="4"/>
  <c r="F106" i="4"/>
  <c r="F107" i="4"/>
  <c r="F109" i="4"/>
  <c r="F110" i="4"/>
  <c r="F112" i="4"/>
  <c r="G88" i="4"/>
  <c r="G89" i="4"/>
  <c r="G90" i="4"/>
  <c r="G91" i="4"/>
  <c r="G92" i="4"/>
  <c r="G93" i="4"/>
  <c r="G94" i="4"/>
  <c r="G95" i="4"/>
  <c r="G97" i="4"/>
  <c r="G98" i="4"/>
  <c r="G99" i="4"/>
  <c r="G100" i="4"/>
  <c r="G101" i="4"/>
  <c r="G102" i="4"/>
  <c r="G103" i="4"/>
  <c r="G104" i="4"/>
  <c r="G106" i="4"/>
  <c r="G107" i="4"/>
  <c r="G109" i="4"/>
  <c r="G112" i="4"/>
  <c r="G113" i="4"/>
  <c r="I88" i="4"/>
  <c r="I89" i="4"/>
  <c r="I90" i="4"/>
  <c r="I91" i="4"/>
  <c r="I92" i="4"/>
  <c r="I93" i="4"/>
  <c r="I94" i="4"/>
  <c r="I95" i="4"/>
  <c r="I97" i="4"/>
  <c r="I98" i="4"/>
  <c r="I99" i="4"/>
  <c r="I100" i="4"/>
  <c r="I101" i="4"/>
  <c r="I102" i="4"/>
  <c r="I103" i="4"/>
  <c r="I104" i="4"/>
  <c r="I106" i="4"/>
  <c r="I107" i="4"/>
  <c r="I109" i="4"/>
  <c r="I110" i="4"/>
  <c r="I112" i="4"/>
  <c r="I113" i="4"/>
  <c r="J88" i="4"/>
  <c r="J89" i="4"/>
  <c r="J90" i="4"/>
  <c r="J91" i="4"/>
  <c r="J92" i="4"/>
  <c r="J93" i="4"/>
  <c r="J94" i="4"/>
  <c r="J95" i="4"/>
  <c r="J97" i="4"/>
  <c r="J98" i="4"/>
  <c r="J99" i="4"/>
  <c r="J100" i="4"/>
  <c r="J101" i="4"/>
  <c r="J102" i="4"/>
  <c r="J103" i="4"/>
  <c r="J104" i="4"/>
  <c r="J106" i="4"/>
  <c r="J107" i="4"/>
  <c r="J109" i="4"/>
  <c r="J110" i="4"/>
  <c r="J112" i="4"/>
  <c r="K88" i="4"/>
  <c r="K89" i="4"/>
  <c r="K90" i="4"/>
  <c r="K91" i="4"/>
  <c r="K92" i="4"/>
  <c r="K93" i="4"/>
  <c r="K94" i="4"/>
  <c r="K95" i="4"/>
  <c r="K97" i="4"/>
  <c r="K98" i="4"/>
  <c r="K99" i="4"/>
  <c r="K100" i="4"/>
  <c r="K101" i="4"/>
  <c r="K102" i="4"/>
  <c r="K103" i="4"/>
  <c r="K104" i="4"/>
  <c r="K106" i="4"/>
  <c r="K107" i="4"/>
  <c r="K109" i="4"/>
  <c r="K110" i="4"/>
  <c r="K112" i="4"/>
  <c r="L88" i="4"/>
  <c r="L89" i="4"/>
  <c r="L90" i="4"/>
  <c r="L91" i="4"/>
  <c r="L92" i="4"/>
  <c r="L93" i="4"/>
  <c r="L94" i="4"/>
  <c r="L95" i="4"/>
  <c r="L97" i="4"/>
  <c r="L98" i="4"/>
  <c r="L99" i="4"/>
  <c r="L100" i="4"/>
  <c r="L101" i="4"/>
  <c r="L102" i="4"/>
  <c r="L103" i="4"/>
  <c r="L104" i="4"/>
  <c r="L106" i="4"/>
  <c r="L107" i="4"/>
  <c r="L109" i="4"/>
  <c r="L112" i="4"/>
  <c r="L113" i="4"/>
  <c r="M88" i="4"/>
  <c r="M89" i="4"/>
  <c r="M90" i="4"/>
  <c r="M91" i="4"/>
  <c r="M92" i="4"/>
  <c r="M93" i="4"/>
  <c r="M94" i="4"/>
  <c r="M95" i="4"/>
  <c r="M97" i="4"/>
  <c r="M98" i="4"/>
  <c r="M99" i="4"/>
  <c r="M100" i="4"/>
  <c r="M101" i="4"/>
  <c r="M102" i="4"/>
  <c r="M103" i="4"/>
  <c r="M104" i="4"/>
  <c r="M106" i="4"/>
  <c r="M107" i="4"/>
  <c r="M109" i="4"/>
  <c r="M110" i="4"/>
  <c r="M112" i="4"/>
  <c r="M113" i="4"/>
  <c r="N88" i="4"/>
  <c r="N89" i="4"/>
  <c r="N90" i="4"/>
  <c r="N91" i="4"/>
  <c r="N92" i="4"/>
  <c r="N93" i="4"/>
  <c r="N94" i="4"/>
  <c r="N95" i="4"/>
  <c r="N97" i="4"/>
  <c r="N98" i="4"/>
  <c r="N99" i="4"/>
  <c r="N100" i="4"/>
  <c r="N101" i="4"/>
  <c r="N102" i="4"/>
  <c r="N103" i="4"/>
  <c r="N104" i="4"/>
  <c r="N106" i="4"/>
  <c r="N107" i="4"/>
  <c r="N109" i="4"/>
  <c r="N110" i="4"/>
  <c r="N112" i="4"/>
  <c r="O88" i="4"/>
  <c r="O89" i="4"/>
  <c r="O90" i="4"/>
  <c r="O91" i="4"/>
  <c r="O92" i="4"/>
  <c r="O93" i="4"/>
  <c r="O94" i="4"/>
  <c r="O95" i="4"/>
  <c r="O97" i="4"/>
  <c r="O98" i="4"/>
  <c r="O99" i="4"/>
  <c r="O100" i="4"/>
  <c r="O101" i="4"/>
  <c r="O102" i="4"/>
  <c r="O103" i="4"/>
  <c r="O104" i="4"/>
  <c r="O106" i="4"/>
  <c r="O107" i="4"/>
  <c r="O109" i="4"/>
  <c r="O110" i="4"/>
  <c r="O112" i="4"/>
  <c r="P88" i="4"/>
  <c r="P89" i="4"/>
  <c r="P90" i="4"/>
  <c r="P91" i="4"/>
  <c r="P92" i="4"/>
  <c r="P93" i="4"/>
  <c r="P94" i="4"/>
  <c r="P95" i="4"/>
  <c r="P97" i="4"/>
  <c r="P98" i="4"/>
  <c r="P99" i="4"/>
  <c r="P100" i="4"/>
  <c r="P101" i="4"/>
  <c r="P102" i="4"/>
  <c r="P103" i="4"/>
  <c r="P104" i="4"/>
  <c r="P106" i="4"/>
  <c r="P107" i="4"/>
  <c r="P109" i="4"/>
  <c r="P112" i="4"/>
  <c r="P113" i="4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E9" i="6"/>
  <c r="E10" i="6" s="1"/>
  <c r="E23" i="6"/>
  <c r="E38" i="6" s="1"/>
  <c r="E53" i="6" s="1"/>
  <c r="B9" i="6"/>
  <c r="B10" i="6" s="1"/>
  <c r="B23" i="6"/>
  <c r="B38" i="6"/>
  <c r="B53" i="6" s="1"/>
  <c r="E9" i="4"/>
  <c r="E22" i="4" s="1"/>
  <c r="E56" i="4" s="1"/>
  <c r="E87" i="4" s="1"/>
  <c r="B24" i="6"/>
  <c r="B39" i="6" s="1"/>
  <c r="B54" i="6" s="1"/>
  <c r="O52" i="4" l="1"/>
  <c r="X11" i="26" s="1"/>
  <c r="K52" i="4"/>
  <c r="T11" i="26" s="1"/>
  <c r="E52" i="4"/>
  <c r="O11" i="26" s="1"/>
  <c r="N52" i="4"/>
  <c r="W11" i="26" s="1"/>
  <c r="J52" i="4"/>
  <c r="S11" i="26" s="1"/>
  <c r="D52" i="4"/>
  <c r="N11" i="26" s="1"/>
  <c r="J114" i="4"/>
  <c r="M52" i="4"/>
  <c r="V11" i="26" s="1"/>
  <c r="I52" i="4"/>
  <c r="R11" i="26" s="1"/>
  <c r="E9" i="14"/>
  <c r="G9" i="14" s="1"/>
  <c r="E12" i="4"/>
  <c r="N10" i="6"/>
  <c r="N12" i="6" s="1"/>
  <c r="P52" i="4"/>
  <c r="Y11" i="26" s="1"/>
  <c r="N12" i="4"/>
  <c r="F12" i="4"/>
  <c r="M12" i="4"/>
  <c r="Q102" i="4"/>
  <c r="L108" i="4"/>
  <c r="Q101" i="4"/>
  <c r="Q94" i="4"/>
  <c r="Q112" i="4"/>
  <c r="Q110" i="4"/>
  <c r="Q100" i="4"/>
  <c r="Q92" i="4"/>
  <c r="Q109" i="4"/>
  <c r="Q99" i="4"/>
  <c r="Q91" i="4"/>
  <c r="Q107" i="4"/>
  <c r="Q98" i="4"/>
  <c r="Q90" i="4"/>
  <c r="Q93" i="4"/>
  <c r="Q106" i="4"/>
  <c r="Q108" i="4" s="1"/>
  <c r="Q97" i="4"/>
  <c r="Q89" i="4"/>
  <c r="Q104" i="4"/>
  <c r="Q88" i="4"/>
  <c r="Q103" i="4"/>
  <c r="Q95" i="4"/>
  <c r="O111" i="4"/>
  <c r="N114" i="4"/>
  <c r="M84" i="4"/>
  <c r="M111" i="4"/>
  <c r="K108" i="4"/>
  <c r="R110" i="4"/>
  <c r="J111" i="4"/>
  <c r="R112" i="4"/>
  <c r="R109" i="4"/>
  <c r="R107" i="4"/>
  <c r="R106" i="4"/>
  <c r="R102" i="4"/>
  <c r="R101" i="4"/>
  <c r="R99" i="4"/>
  <c r="R97" i="4"/>
  <c r="R100" i="4"/>
  <c r="R98" i="4"/>
  <c r="R93" i="4"/>
  <c r="R92" i="4"/>
  <c r="R91" i="4"/>
  <c r="R90" i="4"/>
  <c r="R89" i="4"/>
  <c r="R88" i="4"/>
  <c r="I111" i="4"/>
  <c r="L114" i="4"/>
  <c r="I84" i="4"/>
  <c r="P108" i="4"/>
  <c r="M108" i="4"/>
  <c r="N108" i="4"/>
  <c r="L105" i="4"/>
  <c r="P96" i="4"/>
  <c r="O108" i="4"/>
  <c r="I108" i="4"/>
  <c r="G114" i="4"/>
  <c r="F84" i="4"/>
  <c r="F111" i="4"/>
  <c r="E111" i="4"/>
  <c r="E108" i="4"/>
  <c r="D111" i="4"/>
  <c r="C14" i="13"/>
  <c r="I12" i="4"/>
  <c r="D12" i="4"/>
  <c r="K12" i="4"/>
  <c r="J12" i="4"/>
  <c r="E12" i="14"/>
  <c r="M10" i="6"/>
  <c r="M12" i="6" s="1"/>
  <c r="L10" i="6"/>
  <c r="L12" i="6" s="1"/>
  <c r="K10" i="6"/>
  <c r="K12" i="6" s="1"/>
  <c r="E11" i="6"/>
  <c r="E25" i="6"/>
  <c r="E40" i="6" s="1"/>
  <c r="E55" i="6" s="1"/>
  <c r="E24" i="6"/>
  <c r="E39" i="6" s="1"/>
  <c r="E54" i="6" s="1"/>
  <c r="B11" i="6"/>
  <c r="B25" i="6"/>
  <c r="B40" i="6" s="1"/>
  <c r="B55" i="6" s="1"/>
  <c r="I114" i="4"/>
  <c r="P114" i="4"/>
  <c r="J84" i="4"/>
  <c r="N111" i="4"/>
  <c r="D84" i="4"/>
  <c r="K111" i="4"/>
  <c r="F108" i="4"/>
  <c r="G108" i="4"/>
  <c r="J108" i="4"/>
  <c r="O84" i="4"/>
  <c r="D105" i="4"/>
  <c r="N84" i="4"/>
  <c r="J96" i="4"/>
  <c r="K84" i="4"/>
  <c r="M96" i="4"/>
  <c r="I96" i="4"/>
  <c r="K96" i="4"/>
  <c r="O96" i="4"/>
  <c r="N96" i="4"/>
  <c r="G96" i="4"/>
  <c r="F96" i="4"/>
  <c r="E96" i="4"/>
  <c r="L96" i="4"/>
  <c r="M114" i="4"/>
  <c r="E114" i="4"/>
  <c r="L111" i="4"/>
  <c r="P111" i="4"/>
  <c r="P50" i="4"/>
  <c r="M105" i="4"/>
  <c r="N105" i="4"/>
  <c r="O105" i="4"/>
  <c r="E105" i="4"/>
  <c r="P105" i="4"/>
  <c r="G105" i="4"/>
  <c r="F105" i="4"/>
  <c r="J105" i="4"/>
  <c r="I105" i="4"/>
  <c r="K105" i="4"/>
  <c r="I50" i="4"/>
  <c r="D96" i="4"/>
  <c r="E50" i="4"/>
  <c r="N50" i="4"/>
  <c r="L50" i="4"/>
  <c r="F50" i="4"/>
  <c r="H12" i="4"/>
  <c r="O12" i="4"/>
  <c r="L12" i="4"/>
  <c r="D108" i="4"/>
  <c r="G12" i="4"/>
  <c r="P10" i="4"/>
  <c r="P11" i="4"/>
  <c r="E13" i="14"/>
  <c r="J31" i="2"/>
  <c r="F13" i="14"/>
  <c r="F12" i="14"/>
  <c r="E84" i="4"/>
  <c r="O50" i="4"/>
  <c r="K50" i="4"/>
  <c r="D50" i="4"/>
  <c r="G50" i="4"/>
  <c r="G111" i="4"/>
  <c r="M50" i="4"/>
  <c r="J50" i="4"/>
  <c r="F9" i="4"/>
  <c r="O113" i="4"/>
  <c r="O114" i="4" s="1"/>
  <c r="K113" i="4"/>
  <c r="K114" i="4" s="1"/>
  <c r="F113" i="4"/>
  <c r="F114" i="4" s="1"/>
  <c r="P80" i="4"/>
  <c r="P84" i="4" s="1"/>
  <c r="Y12" i="26" s="1"/>
  <c r="L80" i="4"/>
  <c r="L84" i="4" s="1"/>
  <c r="G80" i="4"/>
  <c r="G84" i="4" s="1"/>
  <c r="D113" i="4"/>
  <c r="E10" i="14"/>
  <c r="E11" i="14"/>
  <c r="E16" i="14" l="1"/>
  <c r="Y13" i="26"/>
  <c r="X12" i="26"/>
  <c r="X13" i="26" s="1"/>
  <c r="O116" i="4"/>
  <c r="H17" i="26" s="1"/>
  <c r="Z11" i="26"/>
  <c r="O12" i="26"/>
  <c r="O13" i="26" s="1"/>
  <c r="E116" i="4"/>
  <c r="H8" i="26" s="1"/>
  <c r="N12" i="26"/>
  <c r="N13" i="26" s="1"/>
  <c r="D116" i="4"/>
  <c r="H7" i="26" s="1"/>
  <c r="R12" i="26"/>
  <c r="R13" i="26" s="1"/>
  <c r="R14" i="26" s="1"/>
  <c r="I116" i="4"/>
  <c r="H11" i="26" s="1"/>
  <c r="U12" i="26"/>
  <c r="U13" i="26" s="1"/>
  <c r="U14" i="26" s="1"/>
  <c r="L116" i="4"/>
  <c r="H14" i="26" s="1"/>
  <c r="T12" i="26"/>
  <c r="T13" i="26" s="1"/>
  <c r="K116" i="4"/>
  <c r="H13" i="26" s="1"/>
  <c r="W12" i="26"/>
  <c r="W13" i="26" s="1"/>
  <c r="N116" i="4"/>
  <c r="H16" i="26" s="1"/>
  <c r="P12" i="26"/>
  <c r="P13" i="26" s="1"/>
  <c r="F116" i="4"/>
  <c r="H9" i="26" s="1"/>
  <c r="V12" i="26"/>
  <c r="V13" i="26" s="1"/>
  <c r="M116" i="4"/>
  <c r="H15" i="26" s="1"/>
  <c r="Y14" i="26"/>
  <c r="Y18" i="26" s="1"/>
  <c r="Q12" i="26"/>
  <c r="Q13" i="26" s="1"/>
  <c r="G116" i="4"/>
  <c r="H10" i="26" s="1"/>
  <c r="S12" i="26"/>
  <c r="S13" i="26" s="1"/>
  <c r="S14" i="26" s="1"/>
  <c r="J116" i="4"/>
  <c r="H12" i="26" s="1"/>
  <c r="K15" i="6"/>
  <c r="H30" i="15" s="1"/>
  <c r="P116" i="4"/>
  <c r="Q113" i="4"/>
  <c r="Q114" i="4" s="1"/>
  <c r="Q96" i="4"/>
  <c r="Q111" i="4"/>
  <c r="Q105" i="4"/>
  <c r="N115" i="4"/>
  <c r="M115" i="4"/>
  <c r="R113" i="4"/>
  <c r="R114" i="4" s="1"/>
  <c r="R111" i="4"/>
  <c r="R108" i="4"/>
  <c r="R105" i="4"/>
  <c r="R96" i="4"/>
  <c r="J115" i="4"/>
  <c r="I115" i="4"/>
  <c r="P115" i="4"/>
  <c r="O115" i="4"/>
  <c r="C11" i="13"/>
  <c r="G12" i="14"/>
  <c r="G13" i="14"/>
  <c r="E12" i="6"/>
  <c r="E26" i="6"/>
  <c r="E41" i="6" s="1"/>
  <c r="E56" i="6" s="1"/>
  <c r="B12" i="6"/>
  <c r="B26" i="6"/>
  <c r="B41" i="6" s="1"/>
  <c r="B56" i="6" s="1"/>
  <c r="L115" i="4"/>
  <c r="E115" i="4"/>
  <c r="F115" i="4"/>
  <c r="G115" i="4"/>
  <c r="K115" i="4"/>
  <c r="J32" i="2"/>
  <c r="F10" i="14" s="1"/>
  <c r="G10" i="14" s="1"/>
  <c r="P12" i="4"/>
  <c r="D114" i="4"/>
  <c r="G9" i="4"/>
  <c r="F22" i="4"/>
  <c r="F56" i="4" s="1"/>
  <c r="F87" i="4" s="1"/>
  <c r="E14" i="14"/>
  <c r="G11" i="14"/>
  <c r="S18" i="26" l="1"/>
  <c r="S17" i="26"/>
  <c r="S16" i="26"/>
  <c r="V14" i="26"/>
  <c r="O14" i="26"/>
  <c r="O18" i="26" s="1"/>
  <c r="X14" i="26"/>
  <c r="R18" i="26"/>
  <c r="R16" i="26"/>
  <c r="R17" i="26"/>
  <c r="W14" i="26"/>
  <c r="W18" i="26" s="1"/>
  <c r="T14" i="26"/>
  <c r="T18" i="26" s="1"/>
  <c r="N14" i="26"/>
  <c r="R116" i="4"/>
  <c r="H18" i="26"/>
  <c r="Y16" i="26"/>
  <c r="Y17" i="26"/>
  <c r="Y19" i="26" s="1"/>
  <c r="F18" i="26" s="1"/>
  <c r="P14" i="26"/>
  <c r="P18" i="26" s="1"/>
  <c r="Z12" i="26"/>
  <c r="Z13" i="26" s="1"/>
  <c r="Q14" i="26"/>
  <c r="Q18" i="26" s="1"/>
  <c r="H34" i="15"/>
  <c r="E27" i="6"/>
  <c r="E42" i="6" s="1"/>
  <c r="E57" i="6" s="1"/>
  <c r="E13" i="6"/>
  <c r="B13" i="6"/>
  <c r="B27" i="6"/>
  <c r="B42" i="6" s="1"/>
  <c r="B57" i="6" s="1"/>
  <c r="G15" i="14"/>
  <c r="C19" i="14" s="1"/>
  <c r="C21" i="14" s="1"/>
  <c r="G14" i="14"/>
  <c r="G22" i="4"/>
  <c r="G56" i="4" s="1"/>
  <c r="G87" i="4" s="1"/>
  <c r="H9" i="4"/>
  <c r="D115" i="4"/>
  <c r="S19" i="26" l="1"/>
  <c r="F12" i="26" s="1"/>
  <c r="Z14" i="26"/>
  <c r="M5" i="17"/>
  <c r="N16" i="26"/>
  <c r="N17" i="26"/>
  <c r="V17" i="26"/>
  <c r="V16" i="26"/>
  <c r="Q16" i="26"/>
  <c r="Q17" i="26"/>
  <c r="Q19" i="26" s="1"/>
  <c r="F10" i="26" s="1"/>
  <c r="R19" i="26"/>
  <c r="F11" i="26" s="1"/>
  <c r="U16" i="26"/>
  <c r="U17" i="26"/>
  <c r="X16" i="26"/>
  <c r="X17" i="26"/>
  <c r="H19" i="26"/>
  <c r="C12" i="26" s="1"/>
  <c r="T17" i="26"/>
  <c r="T19" i="26" s="1"/>
  <c r="F13" i="26" s="1"/>
  <c r="T16" i="26"/>
  <c r="P16" i="26"/>
  <c r="P17" i="26"/>
  <c r="P19" i="26" s="1"/>
  <c r="F9" i="26" s="1"/>
  <c r="O17" i="26"/>
  <c r="O19" i="26" s="1"/>
  <c r="O16" i="26"/>
  <c r="U18" i="26"/>
  <c r="N18" i="26"/>
  <c r="N19" i="26" s="1"/>
  <c r="W16" i="26"/>
  <c r="W17" i="26"/>
  <c r="W19" i="26" s="1"/>
  <c r="F16" i="26" s="1"/>
  <c r="X18" i="26"/>
  <c r="V18" i="26"/>
  <c r="H25" i="15"/>
  <c r="D26" i="15" s="1"/>
  <c r="D34" i="15"/>
  <c r="E28" i="6"/>
  <c r="E43" i="6" s="1"/>
  <c r="E58" i="6" s="1"/>
  <c r="E14" i="6"/>
  <c r="B14" i="6"/>
  <c r="B28" i="6"/>
  <c r="B43" i="6" s="1"/>
  <c r="B58" i="6" s="1"/>
  <c r="I22" i="4"/>
  <c r="I56" i="4" s="1"/>
  <c r="I87" i="4" s="1"/>
  <c r="I9" i="4"/>
  <c r="R115" i="4"/>
  <c r="F8" i="26" l="1"/>
  <c r="D20" i="15"/>
  <c r="D28" i="15"/>
  <c r="D27" i="15"/>
  <c r="X19" i="26"/>
  <c r="F17" i="26" s="1"/>
  <c r="V19" i="26"/>
  <c r="F15" i="26" s="1"/>
  <c r="Z17" i="26"/>
  <c r="Z16" i="26"/>
  <c r="C20" i="13" s="1"/>
  <c r="D22" i="15"/>
  <c r="D19" i="15"/>
  <c r="F7" i="26"/>
  <c r="Z18" i="26"/>
  <c r="K11" i="17"/>
  <c r="K12" i="17"/>
  <c r="K8" i="17"/>
  <c r="K13" i="17"/>
  <c r="K18" i="17" s="1"/>
  <c r="K19" i="17" s="1"/>
  <c r="D29" i="15" s="1"/>
  <c r="K9" i="17"/>
  <c r="K7" i="17"/>
  <c r="K10" i="17"/>
  <c r="D21" i="15"/>
  <c r="C24" i="14" s="1"/>
  <c r="U19" i="26"/>
  <c r="F14" i="26" s="1"/>
  <c r="E15" i="6"/>
  <c r="E29" i="6"/>
  <c r="E44" i="6" s="1"/>
  <c r="E59" i="6" s="1"/>
  <c r="B29" i="6"/>
  <c r="B44" i="6" s="1"/>
  <c r="B59" i="6" s="1"/>
  <c r="B15" i="6"/>
  <c r="J22" i="4"/>
  <c r="J56" i="4" s="1"/>
  <c r="J87" i="4" s="1"/>
  <c r="J9" i="4"/>
  <c r="Z19" i="26" l="1"/>
  <c r="C13" i="26" s="1"/>
  <c r="D30" i="15"/>
  <c r="D23" i="15"/>
  <c r="C25" i="14"/>
  <c r="D35" i="15" s="1"/>
  <c r="H31" i="15" s="1"/>
  <c r="F19" i="26"/>
  <c r="C21" i="13"/>
  <c r="C29" i="13" s="1"/>
  <c r="C32" i="13" s="1"/>
  <c r="D33" i="15" s="1"/>
  <c r="E30" i="6"/>
  <c r="E45" i="6" s="1"/>
  <c r="E60" i="6" s="1"/>
  <c r="E16" i="6"/>
  <c r="B30" i="6"/>
  <c r="B45" i="6" s="1"/>
  <c r="B60" i="6" s="1"/>
  <c r="B16" i="6"/>
  <c r="K9" i="4"/>
  <c r="K22" i="4"/>
  <c r="K56" i="4" s="1"/>
  <c r="K87" i="4" s="1"/>
  <c r="G17" i="26" l="1"/>
  <c r="J17" i="26" s="1"/>
  <c r="G10" i="26"/>
  <c r="J10" i="26" s="1"/>
  <c r="G9" i="26"/>
  <c r="J9" i="26" s="1"/>
  <c r="G13" i="26"/>
  <c r="J13" i="26" s="1"/>
  <c r="G11" i="26"/>
  <c r="J11" i="26" s="1"/>
  <c r="G7" i="26"/>
  <c r="J7" i="26" s="1"/>
  <c r="G12" i="26"/>
  <c r="J12" i="26" s="1"/>
  <c r="G15" i="26"/>
  <c r="J15" i="26" s="1"/>
  <c r="G16" i="26"/>
  <c r="J16" i="26" s="1"/>
  <c r="G14" i="26"/>
  <c r="J14" i="26" s="1"/>
  <c r="G8" i="26"/>
  <c r="J8" i="26" s="1"/>
  <c r="G18" i="26"/>
  <c r="J18" i="26" s="1"/>
  <c r="H29" i="15"/>
  <c r="E17" i="6"/>
  <c r="E31" i="6"/>
  <c r="E46" i="6" s="1"/>
  <c r="E61" i="6" s="1"/>
  <c r="B17" i="6"/>
  <c r="B31" i="6"/>
  <c r="B46" i="6" s="1"/>
  <c r="B61" i="6" s="1"/>
  <c r="L9" i="4"/>
  <c r="L22" i="4"/>
  <c r="L56" i="4" s="1"/>
  <c r="L87" i="4" s="1"/>
  <c r="G19" i="26" l="1"/>
  <c r="J19" i="26"/>
  <c r="E32" i="6"/>
  <c r="E47" i="6" s="1"/>
  <c r="E62" i="6" s="1"/>
  <c r="E18" i="6"/>
  <c r="B32" i="6"/>
  <c r="B47" i="6" s="1"/>
  <c r="B62" i="6" s="1"/>
  <c r="B18" i="6"/>
  <c r="M22" i="4"/>
  <c r="M56" i="4" s="1"/>
  <c r="M87" i="4" s="1"/>
  <c r="M9" i="4"/>
  <c r="H32" i="15" l="1"/>
  <c r="C10" i="26"/>
  <c r="E33" i="6"/>
  <c r="E48" i="6" s="1"/>
  <c r="E63" i="6" s="1"/>
  <c r="E19" i="6"/>
  <c r="E34" i="6" s="1"/>
  <c r="E49" i="6" s="1"/>
  <c r="E64" i="6" s="1"/>
  <c r="B19" i="6"/>
  <c r="B34" i="6" s="1"/>
  <c r="B49" i="6" s="1"/>
  <c r="B64" i="6" s="1"/>
  <c r="B33" i="6"/>
  <c r="B48" i="6" s="1"/>
  <c r="B63" i="6" s="1"/>
  <c r="N9" i="4"/>
  <c r="N22" i="4"/>
  <c r="N56" i="4" s="1"/>
  <c r="N87" i="4" s="1"/>
  <c r="O9" i="4" l="1"/>
  <c r="P22" i="4" s="1"/>
  <c r="P56" i="4" s="1"/>
  <c r="P87" i="4" s="1"/>
  <c r="O22" i="4"/>
  <c r="O56" i="4" s="1"/>
  <c r="O87" i="4" s="1"/>
  <c r="D36" i="15" l="1"/>
  <c r="D37" i="15" s="1"/>
  <c r="H33" i="15"/>
  <c r="D38" i="15" l="1"/>
  <c r="D3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PORTAL</author>
  </authors>
  <commentList>
    <comment ref="B13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 xml:space="preserve">Bes é igual ao benefício econômico de saneamento, calculado com base no volume faturado de água e esgotos e na tarifa média praticada, levando-se em conta os dados de cada mês;
Vf é igual ao somatório dos volumes faturados de água e de esgotos, expressos em metros cúbicos; e,
Tm é a tarifa média, expressa em reais, obtida pela divisão da Receita Operacional Direta – ROD, que é a receita obtida com o faturamento mensal de água e esgoto, pelo volume total de água e esgoto faturado no mesmo mês.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0" authorId="0" shapeId="0" xr:uid="{00000000-0006-0000-0200-000002000000}">
      <text>
        <r>
          <rPr>
            <b/>
            <sz val="9"/>
            <color indexed="81"/>
            <rFont val="Calibri"/>
            <family val="2"/>
          </rPr>
          <t xml:space="preserve">Beu(a) é o benefício econômico de uso auferido pelos prestadores de serviços públicos, calculado pela multiplicação do somatório dos volumes produzidos de água e de coleta de esgoto sanitário, pela tarifa média praticada, levando-se em consideração os dados de cada mês;
Vp é igual ao somatório dos volumes produzidos de água e de coleta de esgotos sanitários, expressos em metros cúbicos; e
Tm é a tarifa média, expressa em reais, obtida na forma prevista no art. 2º, § 2º, desta Lei Complementar.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<sst xmlns="http://schemas.openxmlformats.org/spreadsheetml/2006/main" count="493" uniqueCount="274">
  <si>
    <t>Fórmulas</t>
  </si>
  <si>
    <t>Indices Econômicos 2020</t>
  </si>
  <si>
    <t>Índices Econômicos</t>
    <phoneticPr fontId="0" type="noConversion"/>
  </si>
  <si>
    <t>Dados de Energia Elétrica 2019 e 2020</t>
  </si>
  <si>
    <t>Meses</t>
    <phoneticPr fontId="0" type="noConversion"/>
  </si>
  <si>
    <t>INPC</t>
    <phoneticPr fontId="0" type="noConversion"/>
  </si>
  <si>
    <t>IPCA</t>
    <phoneticPr fontId="0" type="noConversion"/>
  </si>
  <si>
    <t>IGP-M</t>
  </si>
  <si>
    <t>Meses***</t>
  </si>
  <si>
    <t>Custo de Energia* (R$)</t>
    <phoneticPr fontId="0" type="noConversion"/>
  </si>
  <si>
    <t>Consumo** (MWh)</t>
    <phoneticPr fontId="0" type="noConversion"/>
  </si>
  <si>
    <t>Consumo** (MWh)</t>
  </si>
  <si>
    <t>Total (R$)</t>
  </si>
  <si>
    <t>Índice Acumulado (%)</t>
  </si>
  <si>
    <t>* Custo de Energia (R$): toda a despesa mensal incorrida pela CAESB com energia elétrica no referido mês</t>
  </si>
  <si>
    <t>Fonte: www.ipeadata.gov.br</t>
  </si>
  <si>
    <t>** Consumo (MWh): todo o consumo mensal de energia elétrica, em MWh, da CAESB no referido mês</t>
  </si>
  <si>
    <t>***A partir de Abril de 2019 foi alterado o Regime de recolhimento do PIS/COFINS para cumulativo, dessa forma a Companhia não gera mais crédito desses tributos.</t>
  </si>
  <si>
    <t>Fonte: CAESB</t>
  </si>
  <si>
    <t>Δenergia</t>
    <phoneticPr fontId="0" type="noConversion"/>
  </si>
  <si>
    <t>Descrição</t>
  </si>
  <si>
    <t>Custo de Energia (R$)</t>
    <phoneticPr fontId="0" type="noConversion"/>
  </si>
  <si>
    <t>Consumo (MWh)</t>
    <phoneticPr fontId="0" type="noConversion"/>
  </si>
  <si>
    <t>R$/MWh</t>
  </si>
  <si>
    <t>Período de Referência</t>
    <phoneticPr fontId="0" type="noConversion"/>
  </si>
  <si>
    <t>Período de Referência Anterior</t>
    <phoneticPr fontId="0" type="noConversion"/>
  </si>
  <si>
    <t>Δenergia</t>
  </si>
  <si>
    <t>Volume de Água Produzida e Volume de Esgoto Coletado - Ano 2020</t>
  </si>
  <si>
    <r>
      <t>Volume de Água Produzida e de Esgoto Coletado pela CAESB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</si>
  <si>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Total</t>
    <phoneticPr fontId="1" type="noConversion"/>
  </si>
  <si>
    <t>Volume de Água Produzida</t>
    <phoneticPr fontId="1" type="noConversion"/>
  </si>
  <si>
    <t>Volume de Esgoto Coletado</t>
    <phoneticPr fontId="1" type="noConversion"/>
  </si>
  <si>
    <t>Total</t>
  </si>
  <si>
    <t>Volume de Água e Esgoto Faturado - Ano 2020</t>
  </si>
  <si>
    <r>
      <t>I - Volume Faturado de Água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</si>
  <si>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Categoria</t>
  </si>
  <si>
    <t>Faixa</t>
  </si>
  <si>
    <t>Total 1</t>
  </si>
  <si>
    <t>Total 2</t>
  </si>
  <si>
    <t>Residencial Normal</t>
  </si>
  <si>
    <t>0 - 10</t>
  </si>
  <si>
    <t>0 a 7</t>
  </si>
  <si>
    <t>11 a 15</t>
  </si>
  <si>
    <t>8 a 13</t>
  </si>
  <si>
    <t>16 a 25</t>
  </si>
  <si>
    <t>14 a 20</t>
  </si>
  <si>
    <t>26 a 35</t>
  </si>
  <si>
    <t>21 a 30</t>
  </si>
  <si>
    <t xml:space="preserve">36 a 50 </t>
  </si>
  <si>
    <t>31 a 45</t>
  </si>
  <si>
    <t>51 a 70</t>
  </si>
  <si>
    <t>&gt; 45</t>
  </si>
  <si>
    <t>71 a 100</t>
  </si>
  <si>
    <t>&gt; 100</t>
  </si>
  <si>
    <t>Sub-total</t>
  </si>
  <si>
    <t>Residencial Popular</t>
  </si>
  <si>
    <t>0   -   10</t>
  </si>
  <si>
    <t>11  a  15</t>
  </si>
  <si>
    <t>16  a  25</t>
  </si>
  <si>
    <t>26  a  35</t>
  </si>
  <si>
    <t xml:space="preserve">36  a  50 </t>
  </si>
  <si>
    <t>51  a  70</t>
  </si>
  <si>
    <t>71  a  100</t>
  </si>
  <si>
    <t>Comercial</t>
  </si>
  <si>
    <t>0  -  10</t>
  </si>
  <si>
    <t>Acima de 10</t>
  </si>
  <si>
    <t>&gt; 7</t>
  </si>
  <si>
    <t>Industrial</t>
  </si>
  <si>
    <t>Pública</t>
  </si>
  <si>
    <t>Total Geral</t>
  </si>
  <si>
    <t>Saneago + Água Bruta</t>
  </si>
  <si>
    <t>Total Geral com água bruta</t>
  </si>
  <si>
    <r>
      <t>II - Volume Faturado de Esgoto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</si>
  <si>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III - Volume Faturado de Água e de Esgoto (m3)</t>
  </si>
  <si>
    <t>Apuração do Bônus-Desconto para o Reajuste 2021</t>
  </si>
  <si>
    <t>Categoria Residencial Normal</t>
  </si>
  <si>
    <t>Quadro Resumo - Bônus-Desconto</t>
  </si>
  <si>
    <t xml:space="preserve"> Período de Referência (A) </t>
  </si>
  <si>
    <t xml:space="preserve">Consumo (m3) </t>
  </si>
  <si>
    <t xml:space="preserve">Período de Apuração (B) </t>
  </si>
  <si>
    <t xml:space="preserve">Economia  em m3 </t>
  </si>
  <si>
    <t xml:space="preserve">Economia até maio de 2020 (m3)  </t>
  </si>
  <si>
    <t xml:space="preserve">Bônus Desconto até maio de 2020  (%) -  Lei 4.341/09 </t>
  </si>
  <si>
    <t>Base de Cálculo até maio de 2020 (m3)</t>
  </si>
  <si>
    <t>Tarifa Inicial até maio de 2020 (R$)</t>
  </si>
  <si>
    <t>Bonus-Desconto (R$)</t>
  </si>
  <si>
    <t>Ajustes</t>
  </si>
  <si>
    <t>Bônus-desconto total</t>
  </si>
  <si>
    <t>Categoria Residencial Social</t>
  </si>
  <si>
    <t>Categoria Comercial</t>
  </si>
  <si>
    <t>Categoria Industrial</t>
  </si>
  <si>
    <t xml:space="preserve">                                                    Valor da Parcela A - 2021 - DRP</t>
  </si>
  <si>
    <t>%</t>
  </si>
  <si>
    <t>TFS</t>
  </si>
  <si>
    <t xml:space="preserve">TFU </t>
  </si>
  <si>
    <t>Taxa de Fiscalização do Serviço - TFS</t>
    <phoneticPr fontId="0" type="noConversion"/>
  </si>
  <si>
    <r>
      <t>Volume Faturado de Água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</si>
  <si>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de Esgoto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</si>
  <si>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Total  (m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</si>
  <si>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t>Benefício Econômico de Saneamento - Bes (R$)</t>
    <phoneticPr fontId="0" type="noConversion"/>
  </si>
  <si>
    <t>TFS = 1% x Bes (R$)</t>
  </si>
  <si>
    <t>Taxa de Fiscalização do Uso - TFU</t>
    <phoneticPr fontId="0" type="noConversion"/>
  </si>
  <si>
    <r>
      <t>Volume de Água Produzida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</si>
  <si>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de Esgoto Coletado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</si>
  <si>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Produzido e Coletado Total - Vp (m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</si>
  <si>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t>Benefício Econômico de Uso Auferido - Beu(a) (R$)</t>
    <phoneticPr fontId="0" type="noConversion"/>
  </si>
  <si>
    <t>TFU = 2,5% x Beu(a) (R$)</t>
  </si>
  <si>
    <t>Valor Conselho de Consumidores da Caesb</t>
  </si>
  <si>
    <t>Pagamento pelo uso dos recursos hídricos de domínio do DF</t>
  </si>
  <si>
    <t>Pagamento pelo uso dos recursos hídricos de domínio da União</t>
  </si>
  <si>
    <r>
      <t xml:space="preserve">Valor Total das Taxas (VPA 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>)</t>
    </r>
  </si>
  <si>
    <t>Tarifa de Parcela A</t>
  </si>
  <si>
    <r>
      <t>TA</t>
    </r>
    <r>
      <rPr>
        <vertAlign val="subscript"/>
        <sz val="11"/>
        <rFont val="Calibri"/>
        <family val="2"/>
        <scheme val="minor"/>
      </rPr>
      <t>DRP</t>
    </r>
  </si>
  <si>
    <t>Valor da Parcela B 2021 - DRP</t>
  </si>
  <si>
    <t>IrB (%)</t>
    <phoneticPr fontId="0" type="noConversion"/>
  </si>
  <si>
    <t>Custos</t>
  </si>
  <si>
    <t>Proporção (%)</t>
  </si>
  <si>
    <t>Variação (%)</t>
    <phoneticPr fontId="0" type="noConversion"/>
  </si>
  <si>
    <t xml:space="preserve"> Impacto no IrB (%)</t>
  </si>
  <si>
    <t>Pessoal</t>
  </si>
  <si>
    <t>%P x ΔINPC</t>
    <phoneticPr fontId="0" type="noConversion"/>
  </si>
  <si>
    <t>Energia Elétrica</t>
  </si>
  <si>
    <t>%EE x Δenergia</t>
    <phoneticPr fontId="0" type="noConversion"/>
  </si>
  <si>
    <t xml:space="preserve">Material </t>
  </si>
  <si>
    <t>%MT x ΔIGP-M</t>
    <phoneticPr fontId="0" type="noConversion"/>
  </si>
  <si>
    <t>Remuneração dos Investimentos</t>
  </si>
  <si>
    <t>%RI x ΔIGP-M</t>
    <phoneticPr fontId="0" type="noConversion"/>
  </si>
  <si>
    <t>Outros Custos</t>
  </si>
  <si>
    <t>% OC x ΔIPCA</t>
    <phoneticPr fontId="0" type="noConversion"/>
  </si>
  <si>
    <t>IrB = (%P x ΔINPC) + (%EE x ΔEnergia) + (%MT x ΔIGP-M) + (%RI x ΔIGP-M) + (% OC x ΔIPCA)</t>
  </si>
  <si>
    <t>Fonte: 3ª Revisão Tarifária Periódica</t>
  </si>
  <si>
    <t>Índice que Reajusta a Parcela B</t>
    <phoneticPr fontId="0" type="noConversion"/>
  </si>
  <si>
    <t>IrB</t>
    <phoneticPr fontId="0" type="noConversion"/>
  </si>
  <si>
    <t>Fator X</t>
    <phoneticPr fontId="0" type="noConversion"/>
  </si>
  <si>
    <t>Índice Acumulado = IrB - X</t>
  </si>
  <si>
    <t>Tarifa de Parcela B - 2021</t>
  </si>
  <si>
    <r>
      <t>TB</t>
    </r>
    <r>
      <rPr>
        <vertAlign val="subscript"/>
        <sz val="11"/>
        <rFont val="Calibri"/>
        <family val="2"/>
        <scheme val="minor"/>
      </rPr>
      <t>DRA</t>
    </r>
  </si>
  <si>
    <r>
      <t>TB</t>
    </r>
    <r>
      <rPr>
        <vertAlign val="subscript"/>
        <sz val="11"/>
        <rFont val="Calibri"/>
        <family val="2"/>
        <scheme val="minor"/>
      </rPr>
      <t>DRP</t>
    </r>
  </si>
  <si>
    <r>
      <t xml:space="preserve">% P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INPC = Proporção dos custos de pessoal multiplicado pela variação do INPC</t>
    </r>
  </si>
  <si>
    <r>
      <t xml:space="preserve">% EE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energia = Proporção dos custos energia elétrica multiplicado pela variação do índice de energia</t>
    </r>
  </si>
  <si>
    <r>
      <t xml:space="preserve">% MT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IGP-M = Proporção dos custos de material de tratamento multiplicado pela variação do IGP-M</t>
    </r>
  </si>
  <si>
    <r>
      <t xml:space="preserve">% RI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IGP-M = Proporção da remuneração dos investimentos multiplicado pela variação do IGP-M</t>
    </r>
  </si>
  <si>
    <r>
      <t xml:space="preserve">% OC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IPCA = Proporção de outros custos multiplicado pela variação do IPCA</t>
    </r>
  </si>
  <si>
    <t>Valor dos Componentes Financeiros 2021 - DRA</t>
  </si>
  <si>
    <t>DISCRIMINAÇÃO</t>
  </si>
  <si>
    <t>Mês</t>
  </si>
  <si>
    <t>CPA</t>
  </si>
  <si>
    <t>VPA</t>
  </si>
  <si>
    <t>MR</t>
  </si>
  <si>
    <t>IPCA</t>
  </si>
  <si>
    <t>CF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</si>
  <si>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</si>
  <si>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</si>
  <si>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</si>
  <si>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</si>
  <si>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</si>
  <si>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</si>
  <si>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</si>
  <si>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</si>
  <si>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</si>
  <si>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</si>
  <si>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</si>
  <si>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</si>
  <si>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</si>
  <si>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</t>
  </si>
  <si>
    <t>Receita Operacional Direta</t>
  </si>
  <si>
    <t>R$</t>
  </si>
  <si>
    <t>fev</t>
  </si>
  <si>
    <r>
      <t xml:space="preserve">volume </t>
    </r>
    <r>
      <rPr>
        <sz val="11"/>
        <color indexed="8"/>
        <rFont val="Calibri"/>
        <family val="2"/>
      </rPr>
      <t>produzido Ag</t>
    </r>
  </si>
  <si>
    <t>m³</t>
  </si>
  <si>
    <t xml:space="preserve"> CF 2021</t>
  </si>
  <si>
    <t>mar</t>
  </si>
  <si>
    <r>
      <t xml:space="preserve">volume </t>
    </r>
    <r>
      <rPr>
        <sz val="11"/>
        <color indexed="8"/>
        <rFont val="Calibri"/>
        <family val="2"/>
      </rPr>
      <t>coletado Esg</t>
    </r>
  </si>
  <si>
    <r>
      <t>TF</t>
    </r>
    <r>
      <rPr>
        <b/>
        <vertAlign val="subscript"/>
        <sz val="11"/>
        <color theme="1"/>
        <rFont val="Calibri"/>
        <family val="2"/>
        <scheme val="minor"/>
      </rPr>
      <t>DRP</t>
    </r>
    <r>
      <rPr>
        <b/>
        <sz val="11"/>
        <color theme="1"/>
        <rFont val="Calibri"/>
        <family val="2"/>
        <scheme val="minor"/>
      </rPr>
      <t xml:space="preserve"> </t>
    </r>
  </si>
  <si>
    <t>abr</t>
  </si>
  <si>
    <t>Total vol prod Ag + Esg</t>
  </si>
  <si>
    <t>mai</t>
  </si>
  <si>
    <r>
      <t xml:space="preserve">volume </t>
    </r>
    <r>
      <rPr>
        <sz val="11"/>
        <color indexed="8"/>
        <rFont val="Calibri"/>
        <family val="2"/>
      </rPr>
      <t>faturado Ag</t>
    </r>
  </si>
  <si>
    <t>jun</t>
  </si>
  <si>
    <r>
      <t xml:space="preserve">volume </t>
    </r>
    <r>
      <rPr>
        <sz val="11"/>
        <color indexed="8"/>
        <rFont val="Calibri"/>
        <family val="2"/>
      </rPr>
      <t>faturado Esg</t>
    </r>
  </si>
  <si>
    <r>
      <t>TA</t>
    </r>
    <r>
      <rPr>
        <b/>
        <vertAlign val="subscript"/>
        <sz val="11"/>
        <color theme="1"/>
        <rFont val="Calibri"/>
        <family val="2"/>
        <scheme val="minor"/>
      </rPr>
      <t>DRA</t>
    </r>
    <r>
      <rPr>
        <b/>
        <sz val="11"/>
        <color theme="1"/>
        <rFont val="Calibri"/>
        <family val="2"/>
        <scheme val="minor"/>
      </rPr>
      <t xml:space="preserve"> TFS/TFU</t>
    </r>
  </si>
  <si>
    <t>jul</t>
  </si>
  <si>
    <t>Total vol fat Ag + Esg</t>
  </si>
  <si>
    <t>ago</t>
  </si>
  <si>
    <t>Tarifa Média</t>
  </si>
  <si>
    <t>R$/m³</t>
  </si>
  <si>
    <t>set</t>
  </si>
  <si>
    <t>Bes</t>
  </si>
  <si>
    <t>out</t>
  </si>
  <si>
    <t>Beu</t>
  </si>
  <si>
    <t>nov</t>
  </si>
  <si>
    <t>TFU (2,5%)</t>
  </si>
  <si>
    <t>dez</t>
  </si>
  <si>
    <t>TFS (1%)</t>
  </si>
  <si>
    <t>MR - Mercado de Referência (m3) - jan a dez</t>
  </si>
  <si>
    <t>CPAi: custos da CONCESSIONÁRIA, em reais, referentes aos itens da Parcela A incorridos no mês (i) do Período de Referência;</t>
  </si>
  <si>
    <r>
      <t>VPAi: valor, em reais, da receita da CONCESSIONÁRIA correspondente à Parcela A, no mês (i) do Período de Referência, ou seja, VPA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TA</t>
    </r>
    <r>
      <rPr>
        <vertAlign val="subscript"/>
        <sz val="11"/>
        <color theme="1"/>
        <rFont val="Calibri"/>
        <family val="2"/>
        <scheme val="minor"/>
      </rPr>
      <t>DRA</t>
    </r>
    <r>
      <rPr>
        <sz val="11"/>
        <color theme="1"/>
        <rFont val="Calibri"/>
        <family val="2"/>
        <scheme val="minor"/>
      </rPr>
      <t xml:space="preserve"> X MR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;</t>
    </r>
  </si>
  <si>
    <t>CF (R$)</t>
  </si>
  <si>
    <t>Valor dos Componentes Financeiros 2020 - DRA</t>
  </si>
  <si>
    <t>Mercado Total</t>
  </si>
  <si>
    <t xml:space="preserve">Outros Componentes Financeiros RTP 2020 - Não Residencial </t>
  </si>
  <si>
    <r>
      <t>TF</t>
    </r>
    <r>
      <rPr>
        <b/>
        <vertAlign val="subscript"/>
        <sz val="11"/>
        <rFont val="Arial"/>
        <family val="2"/>
      </rPr>
      <t>DRA</t>
    </r>
  </si>
  <si>
    <t xml:space="preserve">Custos para avaliação dos ativos da BAR </t>
  </si>
  <si>
    <t>Mercado Residencial</t>
  </si>
  <si>
    <t xml:space="preserve">Recurso do conselho de consumidores 2017 </t>
  </si>
  <si>
    <t>Recurso do conselho de consumidores 2018</t>
  </si>
  <si>
    <t>Tarifa de Contingência - CF</t>
  </si>
  <si>
    <t>Devolução do PASEP/COFINS de abr a dez/19</t>
  </si>
  <si>
    <t xml:space="preserve">Compensação do adiamento da 3ª RTP  </t>
  </si>
  <si>
    <t>Outros Componentes Financeiros RTP 2020 - Residencial</t>
  </si>
  <si>
    <t>Devolução TC Residencial</t>
  </si>
  <si>
    <t xml:space="preserve">Componetes Financeiros </t>
  </si>
  <si>
    <t xml:space="preserve">                                                    Valor do RTA 2021</t>
  </si>
  <si>
    <t>Parâmetros</t>
    <phoneticPr fontId="0" type="noConversion"/>
  </si>
  <si>
    <t>Data</t>
    <phoneticPr fontId="0" type="noConversion"/>
  </si>
  <si>
    <t>Data do Reajuste</t>
    <phoneticPr fontId="0" type="noConversion"/>
  </si>
  <si>
    <t>01/06/2021</t>
  </si>
  <si>
    <t>Vigência das Tarifas pós RTA-2021</t>
  </si>
  <si>
    <t>01/06/2021 a 31/05/2022</t>
  </si>
  <si>
    <t xml:space="preserve">DRA: Data  de Referência Anterior </t>
    <phoneticPr fontId="0" type="noConversion"/>
  </si>
  <si>
    <t>01/06/2020</t>
  </si>
  <si>
    <t xml:space="preserve">DRP: Data de Reajuste em Processamento </t>
    <phoneticPr fontId="0" type="noConversion"/>
  </si>
  <si>
    <t>Período de Referência (parcela A + parcela B): 12 meses</t>
  </si>
  <si>
    <t>jan/2020 a dez/2020</t>
  </si>
  <si>
    <t>Mercado de Referência (parcela A + parcela B): Volume de Água e de Esgoto</t>
  </si>
  <si>
    <t>Período de Referência (Bônus-Desconto): 12 meses</t>
  </si>
  <si>
    <t>jan/2019 a dez/2019</t>
  </si>
  <si>
    <t>Período de Apuração (Bônus-Desconto): 12 meses</t>
  </si>
  <si>
    <r>
      <t>Tarifas DRA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  <r>
      <rPr>
        <b/>
        <sz val="11"/>
        <color theme="0"/>
        <rFont val="Calibri"/>
        <family val="2"/>
        <scheme val="minor"/>
      </rPr>
      <t xml:space="preserve"> - RTP 2020 - Não Residencial</t>
    </r>
  </si>
  <si>
    <t>Valores da DRA (R$)</t>
  </si>
  <si>
    <t xml:space="preserve">Tarifa de Parcela A:                                                                    </t>
  </si>
  <si>
    <r>
      <t>TA</t>
    </r>
    <r>
      <rPr>
        <vertAlign val="subscript"/>
        <sz val="11"/>
        <rFont val="Calibri"/>
        <family val="2"/>
        <scheme val="minor"/>
      </rPr>
      <t>DRA</t>
    </r>
  </si>
  <si>
    <t>Valor Parcela A</t>
  </si>
  <si>
    <r>
      <t>VPA</t>
    </r>
    <r>
      <rPr>
        <vertAlign val="subscript"/>
        <sz val="11"/>
        <rFont val="Calibri"/>
        <family val="2"/>
        <scheme val="minor"/>
      </rPr>
      <t>DRA</t>
    </r>
  </si>
  <si>
    <t>Tarifa bônus-desconto</t>
  </si>
  <si>
    <r>
      <t>TA-BD</t>
    </r>
    <r>
      <rPr>
        <vertAlign val="subscript"/>
        <sz val="11"/>
        <color indexed="8"/>
        <rFont val="Calibri"/>
        <family val="2"/>
        <scheme val="minor"/>
      </rPr>
      <t>DRA</t>
    </r>
  </si>
  <si>
    <t>Valor do Bonus-Desconto - Parcela A:</t>
  </si>
  <si>
    <r>
      <t>VPA-BD</t>
    </r>
    <r>
      <rPr>
        <vertAlign val="subscript"/>
        <sz val="11"/>
        <rFont val="Calibri"/>
        <family val="2"/>
        <scheme val="minor"/>
      </rPr>
      <t>DRA</t>
    </r>
  </si>
  <si>
    <t xml:space="preserve">Tarifa de Parcela B: </t>
    <phoneticPr fontId="0" type="noConversion"/>
  </si>
  <si>
    <t xml:space="preserve">Valor da Parcela B: </t>
    <phoneticPr fontId="0" type="noConversion"/>
  </si>
  <si>
    <r>
      <t>VPB</t>
    </r>
    <r>
      <rPr>
        <vertAlign val="subscript"/>
        <sz val="11"/>
        <rFont val="Calibri"/>
        <family val="2"/>
        <scheme val="minor"/>
      </rPr>
      <t>DRA</t>
    </r>
  </si>
  <si>
    <r>
      <t>TF</t>
    </r>
    <r>
      <rPr>
        <vertAlign val="subscript"/>
        <sz val="11"/>
        <rFont val="Calibri"/>
        <family val="2"/>
        <scheme val="minor"/>
      </rPr>
      <t>DRA</t>
    </r>
  </si>
  <si>
    <r>
      <t>VCF</t>
    </r>
    <r>
      <rPr>
        <vertAlign val="subscript"/>
        <sz val="11"/>
        <rFont val="Calibri"/>
        <family val="2"/>
        <scheme val="minor"/>
      </rPr>
      <t>DAP</t>
    </r>
  </si>
  <si>
    <t xml:space="preserve">Tarifa Final DRA: </t>
  </si>
  <si>
    <t>Valor do Componente Financeiro Residencial</t>
  </si>
  <si>
    <t>Receita Anual:</t>
  </si>
  <si>
    <t>RA</t>
  </si>
  <si>
    <r>
      <t>Tarifas DRA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  <r>
      <rPr>
        <b/>
        <sz val="11"/>
        <color theme="0"/>
        <rFont val="Calibri"/>
        <family val="2"/>
        <scheme val="minor"/>
      </rPr>
      <t xml:space="preserve"> - RTP 2020 - Residencial </t>
    </r>
  </si>
  <si>
    <t>MR</t>
    <phoneticPr fontId="0" type="noConversion"/>
  </si>
  <si>
    <r>
      <t>Mercado de Referência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 - jan a dez/2020 - Residencial</t>
    </r>
  </si>
  <si>
    <t>MR</t>
    <phoneticPr fontId="1" type="noConversion"/>
  </si>
  <si>
    <t xml:space="preserve">Tarifa de Parcela B: </t>
    <phoneticPr fontId="1" type="noConversion"/>
  </si>
  <si>
    <t>Valores da DRP (R$)</t>
  </si>
  <si>
    <r>
      <t>VPA</t>
    </r>
    <r>
      <rPr>
        <vertAlign val="subscript"/>
        <sz val="11"/>
        <rFont val="Calibri"/>
        <family val="2"/>
        <scheme val="minor"/>
      </rPr>
      <t>DRP</t>
    </r>
  </si>
  <si>
    <r>
      <t>VPA-BD</t>
    </r>
    <r>
      <rPr>
        <vertAlign val="subscript"/>
        <sz val="11"/>
        <rFont val="Calibri"/>
        <family val="2"/>
        <scheme val="minor"/>
      </rPr>
      <t>DRP</t>
    </r>
  </si>
  <si>
    <r>
      <t>VPB</t>
    </r>
    <r>
      <rPr>
        <vertAlign val="subscript"/>
        <sz val="11"/>
        <rFont val="Calibri"/>
        <family val="2"/>
        <scheme val="minor"/>
      </rPr>
      <t>DRP</t>
    </r>
  </si>
  <si>
    <t xml:space="preserve">Valor do Componente Financeiro </t>
  </si>
  <si>
    <r>
      <t>VCF</t>
    </r>
    <r>
      <rPr>
        <vertAlign val="subscript"/>
        <sz val="11"/>
        <rFont val="Calibri"/>
        <family val="2"/>
        <scheme val="minor"/>
      </rPr>
      <t>DRP</t>
    </r>
  </si>
  <si>
    <r>
      <t>Tarifas DRP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</si>
  <si>
    <t xml:space="preserve">Tarifa da Parcela A                                         </t>
  </si>
  <si>
    <r>
      <t>Mercado de Referência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 - jan a dez/2020</t>
    </r>
  </si>
  <si>
    <t>Tarifa do Bônus-desconto</t>
  </si>
  <si>
    <r>
      <t>TA-BD</t>
    </r>
    <r>
      <rPr>
        <vertAlign val="subscript"/>
        <sz val="11"/>
        <rFont val="Calibri"/>
        <family val="2"/>
        <scheme val="minor"/>
      </rPr>
      <t>DRP</t>
    </r>
  </si>
  <si>
    <t>Tarifa da Parcela B</t>
  </si>
  <si>
    <t xml:space="preserve">Tarifa de Componentes Financeiros   </t>
  </si>
  <si>
    <r>
      <t>TF</t>
    </r>
    <r>
      <rPr>
        <vertAlign val="subscript"/>
        <sz val="11"/>
        <rFont val="Calibri"/>
        <family val="2"/>
        <scheme val="minor"/>
      </rPr>
      <t>DRP</t>
    </r>
  </si>
  <si>
    <t xml:space="preserve">Tarifa Final DRP: </t>
  </si>
  <si>
    <t>T</t>
  </si>
  <si>
    <t>Índice de Reajuste Tarifário - Não Residencial</t>
  </si>
  <si>
    <t>Índice de Reajuste Tarifário - Residencial</t>
  </si>
  <si>
    <t>Valor do Componente Financeiro Não Residencial</t>
  </si>
  <si>
    <r>
      <t>Mercado de Referência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) - jan a dez/2020 </t>
    </r>
  </si>
  <si>
    <t xml:space="preserve">Tarifa Componentes Financeiros </t>
  </si>
  <si>
    <r>
      <t>TA</t>
    </r>
    <r>
      <rPr>
        <b/>
        <sz val="9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 (R$/m³)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</si>
</sst>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#,##0.0000"/>
    <numFmt numFmtId="166" formatCode="0.0000%"/>
    <numFmt numFmtId="167" formatCode="_-* #,##0_-;\-* #,##0_-;_-* &quot;-&quot;??_-;_-@_-"/>
    <numFmt numFmtId="168" formatCode="_(* #,##0.00_);_(* \(#,##0.00\);_(* &quot;-&quot;??_);_(@_)"/>
    <numFmt numFmtId="169" formatCode="0.0%"/>
    <numFmt numFmtId="170" formatCode="mmm\-yy"/>
    <numFmt numFmtId="171" formatCode="0.0000"/>
    <numFmt numFmtId="172" formatCode="_(&quot;R$ &quot;* #,##0.00_);_(&quot;R$ &quot;* \(#,##0.00\);_(&quot;R$ &quot;* &quot;-&quot;??_);_(@_)"/>
    <numFmt numFmtId="173" formatCode="_-* #,##0.0000_-;\-* #,##0.0000_-;_-* &quot;-&quot;??_-;_-@_-"/>
    <numFmt numFmtId="174" formatCode="#,##0.0000;[Red]#,##0.0000"/>
    <numFmt numFmtId="175" formatCode="mmmm/yyyy"/>
    <numFmt numFmtId="176" formatCode="0.000"/>
    <numFmt numFmtId="177" formatCode="0.00000"/>
    <numFmt numFmtId="178" formatCode="_(* #,##0_);_(* \(#,##0\);_(* &quot;-&quot;??_);_(@_)"/>
    <numFmt numFmtId="179" formatCode="#,##0;[Red]#,##0"/>
    <numFmt numFmtId="180" formatCode="_-* #,##0.000000000_-;\-* #,##0.000000000_-;_-* &quot;-&quot;??_-;_-@_-"/>
    <numFmt numFmtId="181" formatCode="_-* #,##0.000000000_-;\-* #,##0.000000000_-;_-* &quot;-&quot;??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color indexed="18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9"/>
      <color indexed="23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Verdana"/>
      <family val="2"/>
    </font>
    <font>
      <b/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name val="Arial"/>
      <family val="2"/>
    </font>
    <font>
      <vertAlign val="superscript"/>
      <sz val="11"/>
      <color theme="0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indexed="1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38"/>
      </patternFill>
    </fill>
    <fill>
      <patternFill patternType="solid">
        <fgColor rgb="FF002060"/>
        <bgColor indexed="38"/>
      </patternFill>
    </fill>
    <fill>
      <patternFill patternType="solid">
        <fgColor indexed="9"/>
        <bgColor indexed="38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7" fillId="0" borderId="0"/>
    <xf numFmtId="0" fontId="4" fillId="0" borderId="0"/>
    <xf numFmtId="16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9">
    <xf numFmtId="0" fontId="0" fillId="0" borderId="0" xfId="0"/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 applyProtection="1">
      <alignment horizontal="right"/>
      <protection locked="0"/>
    </xf>
    <xf numFmtId="10" fontId="5" fillId="0" borderId="0" xfId="3" applyNumberFormat="1" applyFont="1"/>
    <xf numFmtId="166" fontId="11" fillId="2" borderId="1" xfId="3" applyNumberFormat="1" applyFont="1" applyFill="1" applyBorder="1" applyAlignment="1">
      <alignment horizontal="center" vertical="center"/>
    </xf>
    <xf numFmtId="166" fontId="5" fillId="0" borderId="0" xfId="0" applyNumberFormat="1" applyFont="1"/>
    <xf numFmtId="0" fontId="12" fillId="0" borderId="0" xfId="0" applyFont="1"/>
    <xf numFmtId="0" fontId="13" fillId="7" borderId="1" xfId="0" applyFont="1" applyFill="1" applyBorder="1" applyAlignment="1">
      <alignment horizontal="center" vertical="center"/>
    </xf>
    <xf numFmtId="17" fontId="13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16" fillId="7" borderId="1" xfId="0" applyNumberFormat="1" applyFont="1" applyFill="1" applyBorder="1" applyAlignment="1">
      <alignment vertical="center"/>
    </xf>
    <xf numFmtId="3" fontId="18" fillId="8" borderId="1" xfId="0" applyNumberFormat="1" applyFont="1" applyFill="1" applyBorder="1" applyAlignment="1">
      <alignment vertical="center"/>
    </xf>
    <xf numFmtId="3" fontId="5" fillId="0" borderId="0" xfId="0" applyNumberFormat="1" applyFont="1"/>
    <xf numFmtId="0" fontId="5" fillId="9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" fontId="13" fillId="7" borderId="4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21" fillId="3" borderId="11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17" fontId="22" fillId="0" borderId="11" xfId="0" applyNumberFormat="1" applyFont="1" applyBorder="1" applyAlignment="1">
      <alignment horizontal="center"/>
    </xf>
    <xf numFmtId="0" fontId="22" fillId="12" borderId="11" xfId="0" applyFont="1" applyFill="1" applyBorder="1" applyAlignment="1">
      <alignment horizontal="center"/>
    </xf>
    <xf numFmtId="167" fontId="22" fillId="12" borderId="11" xfId="1" applyNumberFormat="1" applyFont="1" applyFill="1" applyBorder="1" applyAlignment="1">
      <alignment horizontal="center"/>
    </xf>
    <xf numFmtId="167" fontId="22" fillId="5" borderId="11" xfId="1" applyNumberFormat="1" applyFont="1" applyFill="1" applyBorder="1" applyAlignment="1">
      <alignment horizontal="center"/>
    </xf>
    <xf numFmtId="0" fontId="22" fillId="0" borderId="12" xfId="0" applyFont="1" applyBorder="1"/>
    <xf numFmtId="0" fontId="22" fillId="0" borderId="14" xfId="0" applyFont="1" applyBorder="1"/>
    <xf numFmtId="0" fontId="22" fillId="0" borderId="16" xfId="0" applyFont="1" applyBorder="1"/>
    <xf numFmtId="0" fontId="21" fillId="0" borderId="11" xfId="0" applyFont="1" applyBorder="1" applyAlignment="1">
      <alignment horizontal="left" vertical="center"/>
    </xf>
    <xf numFmtId="40" fontId="0" fillId="4" borderId="11" xfId="1" applyNumberFormat="1" applyFont="1" applyFill="1" applyBorder="1" applyAlignment="1" applyProtection="1">
      <alignment horizontal="center" vertical="center"/>
      <protection locked="0"/>
    </xf>
    <xf numFmtId="43" fontId="0" fillId="0" borderId="0" xfId="1" applyFont="1" applyAlignment="1">
      <alignment horizontal="left" vertical="center"/>
    </xf>
    <xf numFmtId="43" fontId="0" fillId="0" borderId="0" xfId="0" applyNumberFormat="1"/>
    <xf numFmtId="0" fontId="7" fillId="3" borderId="18" xfId="0" applyFont="1" applyFill="1" applyBorder="1" applyAlignment="1">
      <alignment horizontal="center" vertical="center" wrapText="1"/>
    </xf>
    <xf numFmtId="0" fontId="4" fillId="0" borderId="0" xfId="4">
      <alignment vertical="top"/>
    </xf>
    <xf numFmtId="3" fontId="4" fillId="0" borderId="0" xfId="4" applyNumberFormat="1">
      <alignment vertical="top"/>
    </xf>
    <xf numFmtId="0" fontId="7" fillId="11" borderId="0" xfId="0" applyFont="1" applyFill="1" applyAlignment="1">
      <alignment vertical="top"/>
    </xf>
    <xf numFmtId="0" fontId="23" fillId="0" borderId="0" xfId="0" applyFont="1"/>
    <xf numFmtId="0" fontId="23" fillId="0" borderId="0" xfId="0" applyFont="1" applyAlignment="1">
      <alignment vertical="center"/>
    </xf>
    <xf numFmtId="0" fontId="7" fillId="11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24" fillId="11" borderId="0" xfId="0" applyFont="1" applyFill="1" applyAlignment="1">
      <alignment vertical="top"/>
    </xf>
    <xf numFmtId="4" fontId="7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5" fillId="6" borderId="0" xfId="9" applyFont="1" applyFill="1"/>
    <xf numFmtId="0" fontId="5" fillId="6" borderId="0" xfId="0" applyFont="1" applyFill="1" applyAlignment="1">
      <alignment horizontal="center" vertical="center"/>
    </xf>
    <xf numFmtId="0" fontId="5" fillId="6" borderId="0" xfId="0" applyFont="1" applyFill="1"/>
    <xf numFmtId="0" fontId="5" fillId="6" borderId="0" xfId="9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center"/>
    </xf>
    <xf numFmtId="43" fontId="0" fillId="0" borderId="11" xfId="1" applyFont="1" applyBorder="1"/>
    <xf numFmtId="4" fontId="3" fillId="0" borderId="11" xfId="0" applyNumberFormat="1" applyFont="1" applyBorder="1"/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0" borderId="11" xfId="0" applyFont="1" applyBorder="1"/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0" fillId="14" borderId="11" xfId="0" applyNumberFormat="1" applyFill="1" applyBorder="1"/>
    <xf numFmtId="4" fontId="0" fillId="3" borderId="11" xfId="0" applyNumberFormat="1" applyFill="1" applyBorder="1" applyAlignment="1">
      <alignment horizontal="center"/>
    </xf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left"/>
    </xf>
    <xf numFmtId="3" fontId="0" fillId="14" borderId="11" xfId="0" applyNumberFormat="1" applyFill="1" applyBorder="1" applyAlignment="1">
      <alignment horizontal="center"/>
    </xf>
    <xf numFmtId="3" fontId="0" fillId="15" borderId="11" xfId="0" applyNumberFormat="1" applyFill="1" applyBorder="1"/>
    <xf numFmtId="3" fontId="0" fillId="15" borderId="11" xfId="0" applyNumberFormat="1" applyFill="1" applyBorder="1" applyAlignment="1">
      <alignment horizontal="center"/>
    </xf>
    <xf numFmtId="3" fontId="29" fillId="8" borderId="1" xfId="0" applyNumberFormat="1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horizontal="right"/>
    </xf>
    <xf numFmtId="3" fontId="7" fillId="4" borderId="1" xfId="2" applyNumberFormat="1" applyFont="1" applyFill="1" applyBorder="1" applyAlignment="1" applyProtection="1">
      <alignment horizontal="right"/>
      <protection locked="0"/>
    </xf>
    <xf numFmtId="43" fontId="30" fillId="0" borderId="11" xfId="1" applyFont="1" applyBorder="1"/>
    <xf numFmtId="3" fontId="30" fillId="0" borderId="11" xfId="0" applyNumberFormat="1" applyFont="1" applyBorder="1" applyAlignment="1">
      <alignment horizontal="right"/>
    </xf>
    <xf numFmtId="174" fontId="31" fillId="0" borderId="11" xfId="0" applyNumberFormat="1" applyFont="1" applyBorder="1" applyAlignment="1">
      <alignment horizontal="right"/>
    </xf>
    <xf numFmtId="173" fontId="31" fillId="12" borderId="11" xfId="1" applyNumberFormat="1" applyFont="1" applyFill="1" applyBorder="1"/>
    <xf numFmtId="4" fontId="7" fillId="11" borderId="0" xfId="0" applyNumberFormat="1" applyFont="1" applyFill="1" applyAlignment="1">
      <alignment vertical="top"/>
    </xf>
    <xf numFmtId="43" fontId="7" fillId="11" borderId="0" xfId="1" applyFont="1" applyFill="1" applyAlignment="1">
      <alignment vertical="top"/>
    </xf>
    <xf numFmtId="43" fontId="7" fillId="11" borderId="0" xfId="0" applyNumberFormat="1" applyFont="1" applyFill="1" applyAlignment="1">
      <alignment vertical="top"/>
    </xf>
    <xf numFmtId="167" fontId="32" fillId="4" borderId="11" xfId="1" applyNumberFormat="1" applyFont="1" applyFill="1" applyBorder="1" applyAlignment="1" applyProtection="1">
      <alignment horizontal="center"/>
      <protection locked="0"/>
    </xf>
    <xf numFmtId="175" fontId="7" fillId="6" borderId="1" xfId="0" applyNumberFormat="1" applyFont="1" applyFill="1" applyBorder="1" applyAlignment="1">
      <alignment horizontal="left" wrapText="1"/>
    </xf>
    <xf numFmtId="43" fontId="21" fillId="5" borderId="8" xfId="1" applyFont="1" applyFill="1" applyBorder="1" applyAlignment="1">
      <alignment horizontal="center"/>
    </xf>
    <xf numFmtId="0" fontId="21" fillId="16" borderId="11" xfId="0" applyFont="1" applyFill="1" applyBorder="1" applyAlignment="1">
      <alignment horizontal="center"/>
    </xf>
    <xf numFmtId="43" fontId="3" fillId="16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vertical="top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76" fontId="23" fillId="0" borderId="0" xfId="0" applyNumberFormat="1" applyFont="1"/>
    <xf numFmtId="3" fontId="17" fillId="10" borderId="1" xfId="2" applyNumberFormat="1" applyFont="1" applyFill="1" applyBorder="1" applyAlignment="1" applyProtection="1">
      <alignment horizontal="right"/>
      <protection locked="0"/>
    </xf>
    <xf numFmtId="3" fontId="16" fillId="7" borderId="5" xfId="0" applyNumberFormat="1" applyFont="1" applyFill="1" applyBorder="1" applyAlignment="1">
      <alignment vertical="center"/>
    </xf>
    <xf numFmtId="17" fontId="13" fillId="7" borderId="1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/>
    <xf numFmtId="3" fontId="16" fillId="7" borderId="11" xfId="0" applyNumberFormat="1" applyFont="1" applyFill="1" applyBorder="1" applyAlignment="1">
      <alignment vertical="center"/>
    </xf>
    <xf numFmtId="10" fontId="5" fillId="6" borderId="0" xfId="3" applyNumberFormat="1" applyFont="1" applyFill="1"/>
    <xf numFmtId="167" fontId="30" fillId="0" borderId="11" xfId="1" applyNumberFormat="1" applyFont="1" applyBorder="1"/>
    <xf numFmtId="167" fontId="3" fillId="12" borderId="11" xfId="1" applyNumberFormat="1" applyFont="1" applyFill="1" applyBorder="1"/>
    <xf numFmtId="0" fontId="11" fillId="2" borderId="5" xfId="0" applyFont="1" applyFill="1" applyBorder="1" applyAlignment="1">
      <alignment horizontal="left" vertical="center" wrapText="1"/>
    </xf>
    <xf numFmtId="10" fontId="5" fillId="0" borderId="0" xfId="0" applyNumberFormat="1" applyFont="1"/>
    <xf numFmtId="17" fontId="20" fillId="0" borderId="0" xfId="0" applyNumberFormat="1" applyFont="1" applyAlignment="1">
      <alignment horizontal="left" vertical="center" wrapText="1"/>
    </xf>
    <xf numFmtId="43" fontId="0" fillId="0" borderId="0" xfId="1" applyFont="1"/>
    <xf numFmtId="0" fontId="15" fillId="0" borderId="0" xfId="0" applyFont="1"/>
    <xf numFmtId="173" fontId="3" fillId="3" borderId="11" xfId="1" applyNumberFormat="1" applyFont="1" applyFill="1" applyBorder="1" applyAlignment="1">
      <alignment horizontal="center"/>
    </xf>
    <xf numFmtId="167" fontId="3" fillId="12" borderId="11" xfId="0" applyNumberFormat="1" applyFont="1" applyFill="1" applyBorder="1" applyAlignment="1">
      <alignment horizontal="center"/>
    </xf>
    <xf numFmtId="0" fontId="5" fillId="0" borderId="0" xfId="0" applyFont="1" applyFill="1"/>
    <xf numFmtId="3" fontId="18" fillId="8" borderId="18" xfId="0" applyNumberFormat="1" applyFont="1" applyFill="1" applyBorder="1" applyAlignment="1">
      <alignment vertical="center"/>
    </xf>
    <xf numFmtId="3" fontId="8" fillId="0" borderId="0" xfId="0" applyNumberFormat="1" applyFont="1" applyFill="1"/>
    <xf numFmtId="164" fontId="0" fillId="0" borderId="0" xfId="0" applyNumberFormat="1"/>
    <xf numFmtId="164" fontId="37" fillId="0" borderId="0" xfId="0" applyNumberFormat="1" applyFont="1"/>
    <xf numFmtId="4" fontId="37" fillId="0" borderId="0" xfId="0" applyNumberFormat="1" applyFont="1"/>
    <xf numFmtId="167" fontId="22" fillId="5" borderId="6" xfId="1" applyNumberFormat="1" applyFont="1" applyFill="1" applyBorder="1" applyAlignment="1">
      <alignment horizontal="right"/>
    </xf>
    <xf numFmtId="9" fontId="22" fillId="5" borderId="9" xfId="0" applyNumberFormat="1" applyFont="1" applyFill="1" applyBorder="1" applyAlignment="1">
      <alignment horizontal="right"/>
    </xf>
    <xf numFmtId="167" fontId="22" fillId="5" borderId="9" xfId="1" applyNumberFormat="1" applyFont="1" applyFill="1" applyBorder="1" applyAlignment="1">
      <alignment horizontal="right"/>
    </xf>
    <xf numFmtId="167" fontId="22" fillId="5" borderId="13" xfId="1" applyNumberFormat="1" applyFont="1" applyFill="1" applyBorder="1" applyAlignment="1">
      <alignment horizontal="right"/>
    </xf>
    <xf numFmtId="9" fontId="22" fillId="5" borderId="15" xfId="0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/>
    <xf numFmtId="3" fontId="5" fillId="0" borderId="0" xfId="0" applyNumberFormat="1" applyFont="1" applyBorder="1"/>
    <xf numFmtId="9" fontId="5" fillId="0" borderId="0" xfId="3" applyFont="1" applyBorder="1"/>
    <xf numFmtId="175" fontId="7" fillId="6" borderId="0" xfId="0" applyNumberFormat="1" applyFont="1" applyFill="1" applyBorder="1" applyAlignment="1">
      <alignment horizontal="left" wrapText="1"/>
    </xf>
    <xf numFmtId="0" fontId="0" fillId="0" borderId="0" xfId="0" applyFill="1"/>
    <xf numFmtId="0" fontId="30" fillId="0" borderId="11" xfId="0" applyFont="1" applyBorder="1" applyAlignment="1">
      <alignment horizontal="center"/>
    </xf>
    <xf numFmtId="3" fontId="30" fillId="0" borderId="1" xfId="2" applyNumberFormat="1" applyFont="1" applyFill="1" applyBorder="1" applyAlignment="1" applyProtection="1">
      <alignment horizontal="right"/>
      <protection locked="0"/>
    </xf>
    <xf numFmtId="0" fontId="5" fillId="0" borderId="0" xfId="9" applyFont="1" applyFill="1" applyBorder="1"/>
    <xf numFmtId="177" fontId="5" fillId="6" borderId="0" xfId="9" applyNumberFormat="1" applyFont="1" applyFill="1"/>
    <xf numFmtId="165" fontId="13" fillId="0" borderId="0" xfId="0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4" fontId="0" fillId="0" borderId="0" xfId="0" applyNumberFormat="1"/>
    <xf numFmtId="174" fontId="0" fillId="0" borderId="0" xfId="0" applyNumberFormat="1" applyFill="1"/>
    <xf numFmtId="173" fontId="0" fillId="0" borderId="0" xfId="1" applyNumberFormat="1" applyFont="1" applyAlignment="1">
      <alignment horizontal="center" vertical="top" wrapText="1"/>
    </xf>
    <xf numFmtId="9" fontId="5" fillId="0" borderId="0" xfId="0" applyNumberFormat="1" applyFont="1"/>
    <xf numFmtId="0" fontId="0" fillId="11" borderId="0" xfId="0" applyFill="1"/>
    <xf numFmtId="4" fontId="39" fillId="11" borderId="0" xfId="0" applyNumberFormat="1" applyFont="1" applyFill="1" applyBorder="1" applyAlignment="1">
      <alignment horizontal="right" vertical="center" wrapText="1"/>
    </xf>
    <xf numFmtId="0" fontId="0" fillId="11" borderId="0" xfId="0" applyFill="1" applyBorder="1"/>
    <xf numFmtId="0" fontId="39" fillId="11" borderId="0" xfId="0" applyFont="1" applyFill="1" applyBorder="1" applyAlignment="1">
      <alignment horizontal="left" vertical="center" wrapText="1"/>
    </xf>
    <xf numFmtId="0" fontId="39" fillId="11" borderId="0" xfId="0" applyFont="1" applyFill="1" applyBorder="1" applyAlignment="1">
      <alignment horizontal="right" vertical="center" wrapText="1"/>
    </xf>
    <xf numFmtId="3" fontId="0" fillId="11" borderId="0" xfId="0" applyNumberFormat="1" applyFill="1"/>
    <xf numFmtId="167" fontId="0" fillId="11" borderId="0" xfId="0" applyNumberFormat="1" applyFill="1"/>
    <xf numFmtId="3" fontId="38" fillId="11" borderId="0" xfId="0" applyNumberFormat="1" applyFont="1" applyFill="1"/>
    <xf numFmtId="3" fontId="17" fillId="10" borderId="5" xfId="2" applyNumberFormat="1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 horizontal="center" vertical="center"/>
    </xf>
    <xf numFmtId="3" fontId="17" fillId="10" borderId="18" xfId="2" applyNumberFormat="1" applyFont="1" applyFill="1" applyBorder="1" applyAlignment="1" applyProtection="1">
      <alignment horizontal="right"/>
      <protection locked="0"/>
    </xf>
    <xf numFmtId="0" fontId="5" fillId="11" borderId="0" xfId="0" applyFont="1" applyFill="1" applyBorder="1" applyAlignment="1">
      <alignment horizontal="center" vertical="center"/>
    </xf>
    <xf numFmtId="3" fontId="17" fillId="10" borderId="29" xfId="2" applyNumberFormat="1" applyFont="1" applyFill="1" applyBorder="1" applyAlignment="1" applyProtection="1">
      <alignment horizontal="right"/>
      <protection locked="0"/>
    </xf>
    <xf numFmtId="3" fontId="17" fillId="10" borderId="11" xfId="2" applyNumberFormat="1" applyFont="1" applyFill="1" applyBorder="1" applyAlignment="1" applyProtection="1">
      <alignment horizontal="right"/>
      <protection locked="0"/>
    </xf>
    <xf numFmtId="3" fontId="17" fillId="10" borderId="17" xfId="2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 vertical="center"/>
    </xf>
    <xf numFmtId="3" fontId="17" fillId="11" borderId="6" xfId="2" applyNumberFormat="1" applyFont="1" applyFill="1" applyBorder="1" applyAlignment="1" applyProtection="1">
      <alignment horizontal="right"/>
      <protection locked="0"/>
    </xf>
    <xf numFmtId="3" fontId="17" fillId="11" borderId="9" xfId="2" applyNumberFormat="1" applyFont="1" applyFill="1" applyBorder="1" applyAlignment="1" applyProtection="1">
      <alignment horizontal="right"/>
      <protection locked="0"/>
    </xf>
    <xf numFmtId="3" fontId="17" fillId="11" borderId="15" xfId="2" applyNumberFormat="1" applyFont="1" applyFill="1" applyBorder="1" applyAlignment="1" applyProtection="1">
      <alignment horizontal="right"/>
      <protection locked="0"/>
    </xf>
    <xf numFmtId="3" fontId="17" fillId="10" borderId="4" xfId="2" applyNumberFormat="1" applyFont="1" applyFill="1" applyBorder="1" applyAlignment="1" applyProtection="1">
      <alignment horizontal="right"/>
      <protection locked="0"/>
    </xf>
    <xf numFmtId="3" fontId="16" fillId="7" borderId="4" xfId="0" applyNumberFormat="1" applyFont="1" applyFill="1" applyBorder="1" applyAlignment="1">
      <alignment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43" fontId="31" fillId="17" borderId="32" xfId="1" applyFont="1" applyFill="1" applyBorder="1" applyAlignment="1">
      <alignment horizontal="right"/>
    </xf>
    <xf numFmtId="43" fontId="40" fillId="17" borderId="32" xfId="1" applyFont="1" applyFill="1" applyBorder="1" applyAlignment="1">
      <alignment horizontal="right"/>
    </xf>
    <xf numFmtId="178" fontId="30" fillId="0" borderId="0" xfId="1" applyNumberFormat="1" applyFont="1" applyBorder="1" applyAlignment="1">
      <alignment horizontal="right"/>
    </xf>
    <xf numFmtId="167" fontId="5" fillId="6" borderId="0" xfId="1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left"/>
    </xf>
    <xf numFmtId="3" fontId="37" fillId="18" borderId="0" xfId="0" applyNumberFormat="1" applyFont="1" applyFill="1" applyBorder="1"/>
    <xf numFmtId="167" fontId="0" fillId="0" borderId="0" xfId="0" applyNumberFormat="1"/>
    <xf numFmtId="4" fontId="0" fillId="11" borderId="0" xfId="0" applyNumberForma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7" fontId="5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165" fontId="7" fillId="4" borderId="4" xfId="2" applyNumberFormat="1" applyFont="1" applyFill="1" applyBorder="1" applyAlignment="1" applyProtection="1">
      <alignment horizontal="right"/>
      <protection locked="0"/>
    </xf>
    <xf numFmtId="175" fontId="7" fillId="6" borderId="29" xfId="0" applyNumberFormat="1" applyFont="1" applyFill="1" applyBorder="1" applyAlignment="1">
      <alignment horizontal="left" wrapText="1"/>
    </xf>
    <xf numFmtId="175" fontId="7" fillId="6" borderId="11" xfId="0" applyNumberFormat="1" applyFont="1" applyFill="1" applyBorder="1" applyAlignment="1">
      <alignment horizontal="left" wrapText="1"/>
    </xf>
    <xf numFmtId="10" fontId="5" fillId="11" borderId="0" xfId="3" applyNumberFormat="1" applyFont="1" applyFill="1"/>
    <xf numFmtId="9" fontId="5" fillId="11" borderId="0" xfId="3" applyFont="1" applyFill="1"/>
    <xf numFmtId="3" fontId="18" fillId="8" borderId="1" xfId="0" applyNumberFormat="1" applyFont="1" applyFill="1" applyBorder="1" applyAlignment="1">
      <alignment horizontal="center" vertical="center"/>
    </xf>
    <xf numFmtId="0" fontId="22" fillId="0" borderId="11" xfId="0" applyFont="1" applyBorder="1"/>
    <xf numFmtId="2" fontId="22" fillId="5" borderId="11" xfId="0" applyNumberFormat="1" applyFont="1" applyFill="1" applyBorder="1" applyAlignment="1">
      <alignment horizontal="right"/>
    </xf>
    <xf numFmtId="0" fontId="2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173" fontId="3" fillId="11" borderId="0" xfId="0" applyNumberFormat="1" applyFont="1" applyFill="1" applyBorder="1" applyAlignment="1">
      <alignment horizontal="center"/>
    </xf>
    <xf numFmtId="3" fontId="30" fillId="11" borderId="11" xfId="0" applyNumberFormat="1" applyFont="1" applyFill="1" applyBorder="1" applyAlignment="1">
      <alignment horizontal="right"/>
    </xf>
    <xf numFmtId="179" fontId="30" fillId="0" borderId="11" xfId="0" applyNumberFormat="1" applyFont="1" applyBorder="1" applyAlignment="1">
      <alignment horizontal="right"/>
    </xf>
    <xf numFmtId="179" fontId="30" fillId="14" borderId="11" xfId="0" applyNumberFormat="1" applyFont="1" applyFill="1" applyBorder="1" applyAlignment="1">
      <alignment horizontal="right"/>
    </xf>
    <xf numFmtId="179" fontId="31" fillId="14" borderId="11" xfId="0" applyNumberFormat="1" applyFont="1" applyFill="1" applyBorder="1" applyAlignment="1">
      <alignment horizontal="right"/>
    </xf>
    <xf numFmtId="179" fontId="30" fillId="15" borderId="11" xfId="0" applyNumberFormat="1" applyFont="1" applyFill="1" applyBorder="1" applyAlignment="1">
      <alignment horizontal="right"/>
    </xf>
    <xf numFmtId="179" fontId="31" fillId="15" borderId="11" xfId="0" applyNumberFormat="1" applyFont="1" applyFill="1" applyBorder="1" applyAlignment="1">
      <alignment horizontal="right"/>
    </xf>
    <xf numFmtId="179" fontId="31" fillId="12" borderId="11" xfId="0" applyNumberFormat="1" applyFont="1" applyFill="1" applyBorder="1"/>
    <xf numFmtId="167" fontId="0" fillId="0" borderId="0" xfId="1" applyNumberFormat="1" applyFont="1"/>
    <xf numFmtId="0" fontId="41" fillId="13" borderId="11" xfId="0" applyFont="1" applyFill="1" applyBorder="1" applyAlignment="1">
      <alignment horizontal="center"/>
    </xf>
    <xf numFmtId="3" fontId="3" fillId="12" borderId="11" xfId="0" applyNumberFormat="1" applyFont="1" applyFill="1" applyBorder="1" applyAlignment="1">
      <alignment horizontal="center"/>
    </xf>
    <xf numFmtId="43" fontId="30" fillId="11" borderId="0" xfId="1" applyFont="1" applyFill="1" applyBorder="1"/>
    <xf numFmtId="17" fontId="13" fillId="3" borderId="11" xfId="0" applyNumberFormat="1" applyFont="1" applyFill="1" applyBorder="1" applyAlignment="1">
      <alignment horizontal="center"/>
    </xf>
    <xf numFmtId="43" fontId="5" fillId="0" borderId="0" xfId="0" applyNumberFormat="1" applyFont="1"/>
    <xf numFmtId="43" fontId="31" fillId="0" borderId="11" xfId="1" applyFont="1" applyBorder="1"/>
    <xf numFmtId="43" fontId="3" fillId="0" borderId="11" xfId="0" applyNumberFormat="1" applyFont="1" applyBorder="1"/>
    <xf numFmtId="3" fontId="3" fillId="0" borderId="11" xfId="0" applyNumberFormat="1" applyFont="1" applyBorder="1"/>
    <xf numFmtId="3" fontId="31" fillId="0" borderId="11" xfId="0" applyNumberFormat="1" applyFont="1" applyBorder="1" applyAlignment="1">
      <alignment horizontal="right"/>
    </xf>
    <xf numFmtId="3" fontId="30" fillId="14" borderId="1" xfId="2" applyNumberFormat="1" applyFont="1" applyFill="1" applyBorder="1" applyAlignment="1" applyProtection="1">
      <alignment horizontal="right"/>
      <protection locked="0"/>
    </xf>
    <xf numFmtId="3" fontId="31" fillId="14" borderId="11" xfId="0" applyNumberFormat="1" applyFont="1" applyFill="1" applyBorder="1" applyAlignment="1">
      <alignment horizontal="right"/>
    </xf>
    <xf numFmtId="0" fontId="22" fillId="11" borderId="0" xfId="0" applyFont="1" applyFill="1" applyBorder="1"/>
    <xf numFmtId="2" fontId="22" fillId="11" borderId="0" xfId="0" applyNumberFormat="1" applyFont="1" applyFill="1" applyBorder="1" applyAlignment="1">
      <alignment horizontal="right"/>
    </xf>
    <xf numFmtId="43" fontId="0" fillId="11" borderId="0" xfId="0" applyNumberFormat="1" applyFill="1" applyBorder="1"/>
    <xf numFmtId="10" fontId="30" fillId="0" borderId="7" xfId="3" applyNumberFormat="1" applyFont="1" applyBorder="1"/>
    <xf numFmtId="10" fontId="0" fillId="0" borderId="0" xfId="3" applyNumberFormat="1" applyFont="1"/>
    <xf numFmtId="0" fontId="7" fillId="3" borderId="4" xfId="0" applyFont="1" applyFill="1" applyBorder="1" applyAlignment="1">
      <alignment horizontal="center" vertical="center" wrapText="1"/>
    </xf>
    <xf numFmtId="2" fontId="35" fillId="6" borderId="0" xfId="9" applyNumberFormat="1" applyFont="1" applyFill="1"/>
    <xf numFmtId="0" fontId="0" fillId="0" borderId="0" xfId="0" applyBorder="1"/>
    <xf numFmtId="0" fontId="2" fillId="2" borderId="21" xfId="0" applyFont="1" applyFill="1" applyBorder="1" applyAlignment="1">
      <alignment horizontal="center" vertical="center"/>
    </xf>
    <xf numFmtId="17" fontId="30" fillId="0" borderId="26" xfId="0" applyNumberFormat="1" applyFont="1" applyBorder="1" applyAlignment="1">
      <alignment horizontal="left"/>
    </xf>
    <xf numFmtId="49" fontId="30" fillId="4" borderId="21" xfId="2" applyNumberFormat="1" applyFont="1" applyFill="1" applyBorder="1" applyAlignment="1">
      <alignment horizontal="right"/>
    </xf>
    <xf numFmtId="17" fontId="30" fillId="0" borderId="21" xfId="0" applyNumberFormat="1" applyFont="1" applyBorder="1" applyAlignment="1">
      <alignment horizontal="left"/>
    </xf>
    <xf numFmtId="17" fontId="30" fillId="0" borderId="26" xfId="0" applyNumberFormat="1" applyFont="1" applyBorder="1" applyAlignment="1">
      <alignment horizontal="center"/>
    </xf>
    <xf numFmtId="165" fontId="30" fillId="0" borderId="21" xfId="2" applyNumberFormat="1" applyFont="1" applyFill="1" applyBorder="1"/>
    <xf numFmtId="165" fontId="31" fillId="3" borderId="25" xfId="0" applyNumberFormat="1" applyFont="1" applyFill="1" applyBorder="1" applyAlignment="1">
      <alignment vertical="center"/>
    </xf>
    <xf numFmtId="0" fontId="2" fillId="2" borderId="21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/>
    </xf>
    <xf numFmtId="0" fontId="30" fillId="6" borderId="1" xfId="0" applyFont="1" applyFill="1" applyBorder="1" applyAlignment="1">
      <alignment vertical="center"/>
    </xf>
    <xf numFmtId="3" fontId="30" fillId="5" borderId="1" xfId="0" applyNumberFormat="1" applyFont="1" applyFill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2" fillId="2" borderId="21" xfId="0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right" vertical="center"/>
    </xf>
    <xf numFmtId="0" fontId="2" fillId="11" borderId="0" xfId="0" applyFont="1" applyFill="1" applyBorder="1" applyAlignment="1">
      <alignment horizontal="left" vertical="center" wrapText="1"/>
    </xf>
    <xf numFmtId="3" fontId="2" fillId="11" borderId="0" xfId="0" applyNumberFormat="1" applyFont="1" applyFill="1" applyBorder="1" applyAlignment="1">
      <alignment horizontal="right" vertical="center"/>
    </xf>
    <xf numFmtId="17" fontId="30" fillId="0" borderId="5" xfId="0" applyNumberFormat="1" applyFont="1" applyBorder="1" applyAlignment="1">
      <alignment horizontal="left" vertical="center" wrapText="1"/>
    </xf>
    <xf numFmtId="171" fontId="30" fillId="5" borderId="1" xfId="0" applyNumberFormat="1" applyFont="1" applyFill="1" applyBorder="1" applyAlignment="1">
      <alignment horizontal="center" vertical="center" wrapText="1"/>
    </xf>
    <xf numFmtId="17" fontId="30" fillId="0" borderId="5" xfId="0" applyNumberFormat="1" applyFont="1" applyBorder="1" applyAlignment="1">
      <alignment horizontal="center" vertical="center" wrapText="1"/>
    </xf>
    <xf numFmtId="17" fontId="30" fillId="0" borderId="21" xfId="4" applyNumberFormat="1" applyFont="1" applyBorder="1" applyAlignment="1">
      <alignment horizontal="center" vertical="center"/>
    </xf>
    <xf numFmtId="169" fontId="30" fillId="5" borderId="21" xfId="8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0" fontId="30" fillId="5" borderId="1" xfId="0" applyNumberFormat="1" applyFont="1" applyFill="1" applyBorder="1" applyAlignment="1">
      <alignment horizontal="center" vertical="center" wrapText="1"/>
    </xf>
    <xf numFmtId="10" fontId="30" fillId="5" borderId="1" xfId="2" applyNumberFormat="1" applyFont="1" applyFill="1" applyBorder="1" applyAlignment="1">
      <alignment horizontal="center" vertical="center"/>
    </xf>
    <xf numFmtId="0" fontId="47" fillId="0" borderId="5" xfId="0" applyFont="1" applyBorder="1" applyAlignment="1">
      <alignment vertical="center" wrapText="1"/>
    </xf>
    <xf numFmtId="10" fontId="47" fillId="5" borderId="1" xfId="0" applyNumberFormat="1" applyFont="1" applyFill="1" applyBorder="1" applyAlignment="1">
      <alignment horizontal="center" vertical="center" wrapText="1"/>
    </xf>
    <xf numFmtId="10" fontId="30" fillId="5" borderId="22" xfId="3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3" fontId="30" fillId="0" borderId="1" xfId="8" applyNumberFormat="1" applyFont="1" applyFill="1" applyBorder="1" applyAlignment="1">
      <alignment horizontal="center" vertical="center"/>
    </xf>
    <xf numFmtId="3" fontId="30" fillId="0" borderId="1" xfId="4" applyNumberFormat="1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170" fontId="47" fillId="0" borderId="18" xfId="0" applyNumberFormat="1" applyFont="1" applyBorder="1" applyAlignment="1">
      <alignment horizontal="center" wrapText="1"/>
    </xf>
    <xf numFmtId="3" fontId="30" fillId="4" borderId="1" xfId="2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right" vertical="center" wrapText="1"/>
    </xf>
    <xf numFmtId="3" fontId="2" fillId="2" borderId="1" xfId="3" applyNumberFormat="1" applyFont="1" applyFill="1" applyBorder="1" applyAlignment="1">
      <alignment horizontal="right" vertical="center"/>
    </xf>
    <xf numFmtId="0" fontId="52" fillId="0" borderId="0" xfId="0" applyFont="1"/>
    <xf numFmtId="0" fontId="5" fillId="0" borderId="0" xfId="0" applyFont="1" applyAlignment="1">
      <alignment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43" fontId="30" fillId="5" borderId="1" xfId="1" applyFont="1" applyFill="1" applyBorder="1" applyAlignment="1">
      <alignment horizontal="center" vertical="center" wrapText="1"/>
    </xf>
    <xf numFmtId="167" fontId="30" fillId="5" borderId="1" xfId="1" applyNumberFormat="1" applyFont="1" applyFill="1" applyBorder="1" applyAlignment="1">
      <alignment horizontal="center" vertical="center" wrapText="1"/>
    </xf>
    <xf numFmtId="176" fontId="30" fillId="5" borderId="1" xfId="2" applyNumberFormat="1" applyFont="1" applyFill="1" applyBorder="1" applyAlignment="1">
      <alignment horizontal="center" vertical="center"/>
    </xf>
    <xf numFmtId="17" fontId="30" fillId="0" borderId="5" xfId="0" applyNumberFormat="1" applyFont="1" applyBorder="1" applyAlignment="1">
      <alignment horizontal="left" wrapText="1"/>
    </xf>
    <xf numFmtId="43" fontId="30" fillId="5" borderId="1" xfId="1" applyFont="1" applyFill="1" applyBorder="1" applyAlignment="1">
      <alignment horizontal="center" wrapText="1"/>
    </xf>
    <xf numFmtId="167" fontId="30" fillId="5" borderId="1" xfId="1" applyNumberFormat="1" applyFont="1" applyFill="1" applyBorder="1" applyAlignment="1">
      <alignment horizontal="center" wrapText="1"/>
    </xf>
    <xf numFmtId="176" fontId="30" fillId="5" borderId="1" xfId="2" applyNumberFormat="1" applyFont="1" applyFill="1" applyBorder="1" applyAlignment="1">
      <alignment horizontal="center"/>
    </xf>
    <xf numFmtId="10" fontId="2" fillId="2" borderId="1" xfId="3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10" fontId="2" fillId="2" borderId="1" xfId="3" applyNumberFormat="1" applyFont="1" applyFill="1" applyBorder="1" applyAlignment="1">
      <alignment horizontal="center" vertical="center"/>
    </xf>
    <xf numFmtId="0" fontId="47" fillId="0" borderId="0" xfId="0" applyFont="1"/>
    <xf numFmtId="0" fontId="0" fillId="0" borderId="11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78" fontId="30" fillId="0" borderId="11" xfId="1" applyNumberFormat="1" applyFont="1" applyBorder="1"/>
    <xf numFmtId="178" fontId="3" fillId="12" borderId="11" xfId="1" applyNumberFormat="1" applyFont="1" applyFill="1" applyBorder="1"/>
    <xf numFmtId="167" fontId="0" fillId="0" borderId="11" xfId="1" applyNumberFormat="1" applyFont="1" applyBorder="1"/>
    <xf numFmtId="17" fontId="30" fillId="0" borderId="26" xfId="0" applyNumberFormat="1" applyFont="1" applyBorder="1" applyAlignment="1">
      <alignment horizontal="left" vertical="center"/>
    </xf>
    <xf numFmtId="17" fontId="30" fillId="0" borderId="26" xfId="0" applyNumberFormat="1" applyFont="1" applyBorder="1" applyAlignment="1">
      <alignment horizontal="center" vertical="center"/>
    </xf>
    <xf numFmtId="4" fontId="30" fillId="5" borderId="21" xfId="2" applyNumberFormat="1" applyFont="1" applyFill="1" applyBorder="1" applyAlignment="1">
      <alignment horizontal="right" vertical="center"/>
    </xf>
    <xf numFmtId="17" fontId="30" fillId="11" borderId="21" xfId="0" applyNumberFormat="1" applyFont="1" applyFill="1" applyBorder="1" applyAlignment="1">
      <alignment horizontal="left" vertical="center"/>
    </xf>
    <xf numFmtId="17" fontId="30" fillId="11" borderId="21" xfId="0" applyNumberFormat="1" applyFont="1" applyFill="1" applyBorder="1" applyAlignment="1">
      <alignment horizontal="center" vertical="center"/>
    </xf>
    <xf numFmtId="4" fontId="30" fillId="5" borderId="21" xfId="2" applyNumberFormat="1" applyFont="1" applyFill="1" applyBorder="1" applyAlignment="1">
      <alignment vertical="center"/>
    </xf>
    <xf numFmtId="3" fontId="30" fillId="5" borderId="21" xfId="2" applyNumberFormat="1" applyFont="1" applyFill="1" applyBorder="1" applyAlignment="1">
      <alignment vertical="center"/>
    </xf>
    <xf numFmtId="0" fontId="47" fillId="6" borderId="0" xfId="9" applyFont="1" applyFill="1" applyAlignment="1">
      <alignment horizontal="center" vertical="center"/>
    </xf>
    <xf numFmtId="165" fontId="30" fillId="5" borderId="21" xfId="2" applyNumberFormat="1" applyFont="1" applyFill="1" applyBorder="1" applyAlignment="1">
      <alignment horizontal="right"/>
    </xf>
    <xf numFmtId="17" fontId="30" fillId="0" borderId="21" xfId="0" applyNumberFormat="1" applyFont="1" applyBorder="1" applyAlignment="1">
      <alignment horizontal="center"/>
    </xf>
    <xf numFmtId="10" fontId="2" fillId="2" borderId="21" xfId="3" applyNumberFormat="1" applyFont="1" applyFill="1" applyBorder="1" applyAlignment="1">
      <alignment horizontal="right" vertical="center"/>
    </xf>
    <xf numFmtId="0" fontId="53" fillId="6" borderId="0" xfId="9" applyFont="1" applyFill="1" applyAlignment="1">
      <alignment horizontal="left" vertical="center"/>
    </xf>
    <xf numFmtId="0" fontId="54" fillId="0" borderId="5" xfId="0" applyFont="1" applyBorder="1" applyAlignment="1">
      <alignment vertical="center" wrapText="1"/>
    </xf>
    <xf numFmtId="3" fontId="54" fillId="0" borderId="5" xfId="0" applyNumberFormat="1" applyFont="1" applyFill="1" applyBorder="1" applyAlignment="1">
      <alignment horizontal="center" vertical="center" wrapText="1"/>
    </xf>
    <xf numFmtId="10" fontId="20" fillId="0" borderId="0" xfId="1" applyNumberFormat="1" applyFont="1"/>
    <xf numFmtId="180" fontId="0" fillId="0" borderId="0" xfId="0" applyNumberFormat="1"/>
    <xf numFmtId="181" fontId="0" fillId="0" borderId="0" xfId="0" applyNumberFormat="1"/>
    <xf numFmtId="165" fontId="30" fillId="0" borderId="21" xfId="2" applyNumberFormat="1" applyFont="1" applyBorder="1"/>
    <xf numFmtId="0" fontId="31" fillId="3" borderId="1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10" fontId="0" fillId="11" borderId="0" xfId="3" applyNumberFormat="1" applyFont="1" applyFill="1" applyAlignment="1">
      <alignment horizontal="left"/>
    </xf>
    <xf numFmtId="0" fontId="9" fillId="11" borderId="0" xfId="0" applyFont="1" applyFill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51" fillId="2" borderId="28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1" fillId="2" borderId="3" xfId="0" applyFont="1" applyFill="1" applyBorder="1" applyAlignment="1"/>
    <xf numFmtId="0" fontId="52" fillId="0" borderId="0" xfId="0" applyFont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3" fontId="7" fillId="5" borderId="5" xfId="2" applyNumberFormat="1" applyFont="1" applyFill="1" applyBorder="1" applyAlignment="1">
      <alignment horizontal="center"/>
    </xf>
    <xf numFmtId="3" fontId="7" fillId="5" borderId="4" xfId="2" applyNumberFormat="1" applyFont="1" applyFill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3" fontId="31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43" fontId="1" fillId="3" borderId="11" xfId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13" borderId="7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6" borderId="0" xfId="9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49" fontId="30" fillId="11" borderId="23" xfId="2" applyNumberFormat="1" applyFont="1" applyFill="1" applyBorder="1" applyAlignment="1">
      <alignment horizontal="left"/>
    </xf>
    <xf numFmtId="49" fontId="30" fillId="11" borderId="24" xfId="2" applyNumberFormat="1" applyFont="1" applyFill="1" applyBorder="1" applyAlignment="1">
      <alignment horizontal="left"/>
    </xf>
    <xf numFmtId="49" fontId="30" fillId="11" borderId="25" xfId="2" applyNumberFormat="1" applyFont="1" applyFill="1" applyBorder="1" applyAlignment="1">
      <alignment horizontal="left"/>
    </xf>
    <xf numFmtId="0" fontId="30" fillId="3" borderId="23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</cellXfs>
  <cellStyles count="17">
    <cellStyle name="Comma 2 2" xfId="11" xr:uid="{00000000-0005-0000-0000-000000000000}"/>
    <cellStyle name="Moeda" xfId="2" builtinId="4"/>
    <cellStyle name="Moeda 2" xfId="8" xr:uid="{00000000-0005-0000-0000-000003000000}"/>
    <cellStyle name="Moeda 3" xfId="12" xr:uid="{00000000-0005-0000-0000-000004000000}"/>
    <cellStyle name="Normal" xfId="0" builtinId="0"/>
    <cellStyle name="Normal - Style1 2 2" xfId="10" xr:uid="{00000000-0005-0000-0000-000006000000}"/>
    <cellStyle name="Normal 12" xfId="13" xr:uid="{00000000-0005-0000-0000-000007000000}"/>
    <cellStyle name="Normal 2" xfId="9" xr:uid="{00000000-0005-0000-0000-000008000000}"/>
    <cellStyle name="Normal 2 2" xfId="14" xr:uid="{00000000-0005-0000-0000-000009000000}"/>
    <cellStyle name="Normal 4" xfId="4" xr:uid="{00000000-0005-0000-0000-00000A000000}"/>
    <cellStyle name="Normal 5" xfId="5" xr:uid="{00000000-0005-0000-0000-00000B000000}"/>
    <cellStyle name="Porcentagem" xfId="3" builtinId="5"/>
    <cellStyle name="Porcentagem 2" xfId="7" xr:uid="{00000000-0005-0000-0000-00000D000000}"/>
    <cellStyle name="Separador de milhares 3" xfId="6" xr:uid="{00000000-0005-0000-0000-00000E000000}"/>
    <cellStyle name="Separador de milhares 3 2" xfId="16" xr:uid="{00000000-0005-0000-0000-00000F000000}"/>
    <cellStyle name="Vírgula" xfId="1" builtinId="3"/>
    <cellStyle name="Vírgula 2" xfId="15" xr:uid="{00000000-0005-0000-0000-00001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2020 - em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Indices_2021!$B$7</c:f>
              <c:strCache>
                <c:ptCount val="1"/>
                <c:pt idx="0">
                  <c:v>Índices Econômicos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(Indices_2021!$C$8:$E$8,Indices_2021!$G$32)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IGP-M</c:v>
                </c:pt>
                <c:pt idx="3">
                  <c:v>Δenergia</c:v>
                </c:pt>
              </c:strCache>
            </c:strRef>
          </c:cat>
          <c:val>
            <c:numRef>
              <c:f>(Indices_2021!$C$22:$E$22,Indices_2021!$J$32)</c:f>
              <c:numCache>
                <c:formatCode>0.0000%</c:formatCode>
                <c:ptCount val="4"/>
                <c:pt idx="0">
                  <c:v>5.4473158845030234E-2</c:v>
                </c:pt>
                <c:pt idx="1">
                  <c:v>4.517456886424509E-2</c:v>
                </c:pt>
                <c:pt idx="2">
                  <c:v>0.23138351126052559</c:v>
                </c:pt>
                <c:pt idx="3" formatCode="0.00%">
                  <c:v>-0.11124890872757309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5-41F0-88D2-D3075AF4D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25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/>
              <a:t>Quadro Resumo - Bônus-Desconto 2020</a:t>
            </a:r>
          </a:p>
        </c:rich>
      </c:tx>
      <c:layout>
        <c:manualLayout>
          <c:xMode val="edge"/>
          <c:yMode val="edge"/>
          <c:x val="0.26455829818750665"/>
          <c:y val="2.1213164149437122E-2"/>
        </c:manualLayout>
      </c:layout>
      <c:overlay val="0"/>
    </c:title>
    <c:autoTitleDeleted val="0"/>
    <c:view3D>
      <c:rotX val="30"/>
      <c:rotY val="2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910738644903235E-2"/>
          <c:y val="0.23256146776114595"/>
          <c:w val="0.59579829403206863"/>
          <c:h val="0.63733555653547946"/>
        </c:manualLayout>
      </c:layout>
      <c:pie3DChart>
        <c:varyColors val="1"/>
        <c:ser>
          <c:idx val="0"/>
          <c:order val="0"/>
          <c:tx>
            <c:strRef>
              <c:f>'Bonus Desconto'!$J$6:$N$6</c:f>
              <c:strCache>
                <c:ptCount val="5"/>
                <c:pt idx="0">
                  <c:v>Quadro Resumo - Bônus-Desconto</c:v>
                </c:pt>
              </c:strCache>
            </c:strRef>
          </c:tx>
          <c:explosion val="16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1-0EC1-4BB5-9E05-552DDBB13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'Bonus Desconto'!$K$7:$N$7</c:f>
              <c:strCache>
                <c:ptCount val="4"/>
                <c:pt idx="0">
                  <c:v>Residencial Normal</c:v>
                </c:pt>
                <c:pt idx="1">
                  <c:v>Residencial Popular</c:v>
                </c:pt>
                <c:pt idx="2">
                  <c:v>Comercial</c:v>
                </c:pt>
                <c:pt idx="3">
                  <c:v>Industrial</c:v>
                </c:pt>
              </c:strCache>
            </c:strRef>
          </c:cat>
          <c:val>
            <c:numRef>
              <c:f>'Bonus Desconto'!$K$12:$N$12</c:f>
              <c:numCache>
                <c:formatCode>_(* #,##0.00_);_(* \(#,##0.00\);_(* "-"??_);_(@_)</c:formatCode>
                <c:ptCount val="4"/>
                <c:pt idx="0">
                  <c:v>7637749.2880000006</c:v>
                </c:pt>
                <c:pt idx="1">
                  <c:v>46775.272000000004</c:v>
                </c:pt>
                <c:pt idx="2">
                  <c:v>3977980.7440000004</c:v>
                </c:pt>
                <c:pt idx="3">
                  <c:v>178021.932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1-4BB5-9E05-552DDBB1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257274569558962"/>
          <c:y val="0.14583658806574906"/>
          <c:w val="0.22992234271305478"/>
          <c:h val="0.21754422606988449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2020 - em %)</a:t>
            </a:r>
          </a:p>
        </c:rich>
      </c:tx>
      <c:layout>
        <c:manualLayout>
          <c:xMode val="edge"/>
          <c:yMode val="edge"/>
          <c:x val="0.19761587301643796"/>
          <c:y val="2.8378215697342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Indices_2021!$B$7</c:f>
              <c:strCache>
                <c:ptCount val="1"/>
                <c:pt idx="0">
                  <c:v>Índices Econômicos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(Indices_2021!$C$8:$E$8,Indices_2021!$G$32)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IGP-M</c:v>
                </c:pt>
                <c:pt idx="3">
                  <c:v>Δenergia</c:v>
                </c:pt>
              </c:strCache>
            </c:strRef>
          </c:cat>
          <c:val>
            <c:numRef>
              <c:f>(Indices_2021!$C$22:$E$22,Indices_2021!$J$32)</c:f>
              <c:numCache>
                <c:formatCode>0.0000%</c:formatCode>
                <c:ptCount val="4"/>
                <c:pt idx="0">
                  <c:v>5.4473158845030234E-2</c:v>
                </c:pt>
                <c:pt idx="1">
                  <c:v>4.517456886424509E-2</c:v>
                </c:pt>
                <c:pt idx="2">
                  <c:v>0.23138351126052559</c:v>
                </c:pt>
                <c:pt idx="3" formatCode="0.00%">
                  <c:v>-0.11124890872757309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C-4CDF-98B7-6362214E5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25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Proporção dos custos da Parcela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601-47BF-9C33-D03C5D6908BC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51C-469C-8441-736B8F4DD2F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C51C-469C-8441-736B8F4DD2F3}"/>
              </c:ext>
            </c:extLst>
          </c:dPt>
          <c:dPt>
            <c:idx val="3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51C-469C-8441-736B8F4DD2F3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51C-469C-8441-736B8F4DD2F3}"/>
              </c:ext>
            </c:extLst>
          </c:dPt>
          <c:dLbls>
            <c:dLbl>
              <c:idx val="1"/>
              <c:layout>
                <c:manualLayout>
                  <c:x val="-6.7219004404110508E-2"/>
                  <c:y val="-0.172197664897537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1C-469C-8441-736B8F4DD2F3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'VPB 2021'!$B$9:$B$13</c:f>
              <c:strCache>
                <c:ptCount val="5"/>
                <c:pt idx="0">
                  <c:v>Pessoal</c:v>
                </c:pt>
                <c:pt idx="1">
                  <c:v>Energia Elétrica</c:v>
                </c:pt>
                <c:pt idx="2">
                  <c:v>Material </c:v>
                </c:pt>
                <c:pt idx="3">
                  <c:v>Remuneração dos Investimentos</c:v>
                </c:pt>
                <c:pt idx="4">
                  <c:v>Outros Custos</c:v>
                </c:pt>
              </c:strCache>
            </c:strRef>
          </c:cat>
          <c:val>
            <c:numRef>
              <c:f>'VPB 2021'!$D$9:$D$13</c:f>
              <c:numCache>
                <c:formatCode>#,##0</c:formatCode>
                <c:ptCount val="5"/>
                <c:pt idx="0">
                  <c:v>548966485.50920939</c:v>
                </c:pt>
                <c:pt idx="1">
                  <c:v>143986385.84</c:v>
                </c:pt>
                <c:pt idx="2">
                  <c:v>77387004.115399957</c:v>
                </c:pt>
                <c:pt idx="3">
                  <c:v>443181040.93777156</c:v>
                </c:pt>
                <c:pt idx="4">
                  <c:v>298091415.30246508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C-469C-8441-736B8F4DD2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2020 - em %)</a:t>
            </a:r>
          </a:p>
        </c:rich>
      </c:tx>
      <c:layout>
        <c:manualLayout>
          <c:xMode val="edge"/>
          <c:yMode val="edge"/>
          <c:x val="0.24281360508677341"/>
          <c:y val="2.18653872641292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Proporção de custo</c:v>
          </c:tx>
          <c:invertIfNegative val="0"/>
          <c:dLbls>
            <c:dLbl>
              <c:idx val="0"/>
              <c:layout>
                <c:manualLayout>
                  <c:x val="0"/>
                  <c:y val="-1.761919943352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AD-4DF2-8570-99A1B6D0F392}"/>
                </c:ext>
              </c:extLst>
            </c:dLbl>
            <c:dLbl>
              <c:idx val="1"/>
              <c:layout>
                <c:manualLayout>
                  <c:x val="1.1299433017583875E-2"/>
                  <c:y val="-1.057151966011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AD-4DF2-8570-99A1B6D0F392}"/>
                </c:ext>
              </c:extLst>
            </c:dLbl>
            <c:dLbl>
              <c:idx val="3"/>
              <c:layout>
                <c:manualLayout>
                  <c:x val="-9.0395464140672656E-3"/>
                  <c:y val="-7.6003954469768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AD-4DF2-8570-99A1B6D0F3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'VPB 2021'!$E$11:$E$12</c:f>
              <c:numCache>
                <c:formatCode>0.00%</c:formatCode>
                <c:ptCount val="2"/>
                <c:pt idx="0">
                  <c:v>5.1195007140567822E-2</c:v>
                </c:pt>
                <c:pt idx="1">
                  <c:v>0.29318432487113771</c:v>
                </c:pt>
              </c:numCache>
            </c:numRef>
          </c:cat>
          <c:val>
            <c:numRef>
              <c:f>('VPB 2021'!$E$9,'VPB 2021'!$E$13,'VPB 2021'!$E$16,'VPB 2021'!$E$10)</c:f>
              <c:numCache>
                <c:formatCode>0.00%</c:formatCode>
                <c:ptCount val="4"/>
                <c:pt idx="0">
                  <c:v>0.36316618619409319</c:v>
                </c:pt>
                <c:pt idx="1">
                  <c:v>0.19720096816507696</c:v>
                </c:pt>
                <c:pt idx="2">
                  <c:v>0.34437933201170556</c:v>
                </c:pt>
                <c:pt idx="3">
                  <c:v>9.5253513629124362E-2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D-4DF2-8570-99A1B6D0F392}"/>
            </c:ext>
          </c:extLst>
        </c:ser>
        <c:ser>
          <c:idx val="1"/>
          <c:order val="1"/>
          <c:tx>
            <c:strRef>
              <c:f>Indices_2021!$B$7</c:f>
              <c:strCache>
                <c:ptCount val="1"/>
                <c:pt idx="0">
                  <c:v>Índices Econômicos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2994330175838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AD-4DF2-8570-99A1B6D0F392}"/>
                </c:ext>
              </c:extLst>
            </c:dLbl>
            <c:dLbl>
              <c:idx val="1"/>
              <c:layout>
                <c:manualLayout>
                  <c:x val="1.355931962110065E-2"/>
                  <c:y val="-7.047679773408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AD-4DF2-8570-99A1B6D0F392}"/>
                </c:ext>
              </c:extLst>
            </c:dLbl>
            <c:dLbl>
              <c:idx val="2"/>
              <c:layout>
                <c:manualLayout>
                  <c:x val="2.2598866035167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AD-4DF2-8570-99A1B6D0F3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'VPB 2021'!$E$11:$E$12</c:f>
              <c:numCache>
                <c:formatCode>0.00%</c:formatCode>
                <c:ptCount val="2"/>
                <c:pt idx="0">
                  <c:v>5.1195007140567822E-2</c:v>
                </c:pt>
                <c:pt idx="1">
                  <c:v>0.29318432487113771</c:v>
                </c:pt>
              </c:numCache>
            </c:numRef>
          </c:cat>
          <c:val>
            <c:numRef>
              <c:f>(Indices_2021!$C$22:$E$22,Indices_2021!$J$32)</c:f>
              <c:numCache>
                <c:formatCode>0.0000%</c:formatCode>
                <c:ptCount val="4"/>
                <c:pt idx="0">
                  <c:v>5.4473158845030234E-2</c:v>
                </c:pt>
                <c:pt idx="1">
                  <c:v>4.517456886424509E-2</c:v>
                </c:pt>
                <c:pt idx="2">
                  <c:v>0.23138351126052559</c:v>
                </c:pt>
                <c:pt idx="3" formatCode="0.00%">
                  <c:v>-0.11124890872757309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D-4DF2-8570-99A1B6D0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4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4.0000000000000008E-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Componentes da tarifa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444444444444446E-2"/>
          <c:y val="0.25863340297406906"/>
          <c:w val="0.53333333333333333"/>
          <c:h val="0.695461544578504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920-4C02-9EC2-BD8DC7F12ABD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920-4C02-9EC2-BD8DC7F12ABD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920-4C02-9EC2-BD8DC7F12AB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920-4C02-9EC2-BD8DC7F12ABD}"/>
              </c:ext>
            </c:extLst>
          </c:dPt>
          <c:dLbls>
            <c:dLbl>
              <c:idx val="0"/>
              <c:layout>
                <c:manualLayout>
                  <c:x val="4.8442694663167101E-3"/>
                  <c:y val="-3.76345852674026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0-4C02-9EC2-BD8DC7F12ABD}"/>
                </c:ext>
              </c:extLst>
            </c:dLbl>
            <c:dLbl>
              <c:idx val="1"/>
              <c:layout>
                <c:manualLayout>
                  <c:x val="5.8061592300962382E-2"/>
                  <c:y val="-1.53057368500261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0-4C02-9EC2-BD8DC7F12ABD}"/>
                </c:ext>
              </c:extLst>
            </c:dLbl>
            <c:dLbl>
              <c:idx val="3"/>
              <c:layout>
                <c:manualLayout>
                  <c:x val="-6.579002624671916E-2"/>
                  <c:y val="-2.09418389228841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20-4C02-9EC2-BD8DC7F12ABD}"/>
                </c:ext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'RTA 2021'!$B$33:$B$36</c:f>
              <c:strCache>
                <c:ptCount val="4"/>
                <c:pt idx="0">
                  <c:v>Tarifa da Parcela A                                         </c:v>
                </c:pt>
                <c:pt idx="1">
                  <c:v>Tarifa do Bônus-desconto</c:v>
                </c:pt>
                <c:pt idx="2">
                  <c:v>Tarifa da Parcela B</c:v>
                </c:pt>
                <c:pt idx="3">
                  <c:v>Tarifa de Componentes Financeiros   </c:v>
                </c:pt>
              </c:strCache>
            </c:strRef>
          </c:cat>
          <c:val>
            <c:numRef>
              <c:f>'RTA 2021'!$D$33:$D$36</c:f>
              <c:numCache>
                <c:formatCode>#,##0.0000</c:formatCode>
                <c:ptCount val="4"/>
                <c:pt idx="0">
                  <c:v>0.26505435285381485</c:v>
                </c:pt>
                <c:pt idx="1">
                  <c:v>3.845187872352436E-2</c:v>
                </c:pt>
                <c:pt idx="2">
                  <c:v>5.2976112252332026</c:v>
                </c:pt>
                <c:pt idx="3">
                  <c:v>-2.6018832034175259E-4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20-4C02-9EC2-BD8DC7F12AB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gif"/><Relationship Id="rId2" Type="http://schemas.openxmlformats.org/officeDocument/2006/relationships/chart" Target="../charts/chart1.xml"/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9.jpeg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3357562</xdr:colOff>
      <xdr:row>5</xdr:row>
      <xdr:rowOff>95249</xdr:rowOff>
    </xdr:from>
    <xdr:to>
      <xdr:col>4</xdr:col>
      <xdr:colOff>757237</xdr:colOff>
      <xdr:row>8</xdr:row>
      <xdr:rowOff>88105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5EDCB9-45C4-49A2-B8AD-90BD766C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238249"/>
          <a:ext cx="2924175" cy="564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119061</xdr:colOff>
      <xdr:row>11</xdr:row>
      <xdr:rowOff>47625</xdr:rowOff>
    </xdr:from>
    <xdr:to>
      <xdr:col>1</xdr:col>
      <xdr:colOff>2014536</xdr:colOff>
      <xdr:row>15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62E8A-5190-4223-BF1A-8E651525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2333625"/>
          <a:ext cx="1895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17</xdr:row>
      <xdr:rowOff>119062</xdr:rowOff>
    </xdr:from>
    <xdr:to>
      <xdr:col>1</xdr:col>
      <xdr:colOff>2105024</xdr:colOff>
      <xdr:row>19</xdr:row>
      <xdr:rowOff>116680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739696-34BD-4B28-BBA7-18921327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3548062"/>
          <a:ext cx="2009775" cy="378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2524125</xdr:colOff>
      <xdr:row>17</xdr:row>
      <xdr:rowOff>119062</xdr:rowOff>
    </xdr:from>
    <xdr:to>
      <xdr:col>6</xdr:col>
      <xdr:colOff>373056</xdr:colOff>
      <xdr:row>20</xdr:row>
      <xdr:rowOff>61848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A567B51-8F8F-4F15-B437-7E029EBC3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33688" y="3548062"/>
          <a:ext cx="6409524" cy="5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2547936</xdr:colOff>
      <xdr:row>12</xdr:row>
      <xdr:rowOff>23813</xdr:rowOff>
    </xdr:from>
    <xdr:to>
      <xdr:col>6</xdr:col>
      <xdr:colOff>396867</xdr:colOff>
      <xdr:row>14</xdr:row>
      <xdr:rowOff>90432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8DCC092-6DE9-40F4-9EB9-38518EFE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499" y="2500313"/>
          <a:ext cx="6409524" cy="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107157</xdr:colOff>
      <xdr:row>22</xdr:row>
      <xdr:rowOff>151868</xdr:rowOff>
    </xdr:from>
    <xdr:to>
      <xdr:col>1</xdr:col>
      <xdr:colOff>1190624</xdr:colOff>
      <xdr:row>26</xdr:row>
      <xdr:rowOff>152309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17B2D76-1B71-4D65-938A-AA4EE4727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720" y="4533368"/>
          <a:ext cx="1083467" cy="762441"/>
        </a:xfrm>
        <a:prstGeom prst="rect">
          <a:avLst/>
        </a:prstGeom>
      </xdr:spPr>
    </xdr:pic>
    <xdr:clientData/>
  </xdr:twoCellAnchor>
  <xdr:twoCellAnchor editAs="oneCell">
    <xdr:from>
      <xdr:col>1</xdr:col>
      <xdr:colOff>2393155</xdr:colOff>
      <xdr:row>22</xdr:row>
      <xdr:rowOff>83342</xdr:rowOff>
    </xdr:from>
    <xdr:to>
      <xdr:col>4</xdr:col>
      <xdr:colOff>430560</xdr:colOff>
      <xdr:row>26</xdr:row>
      <xdr:rowOff>92771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972418F-84E4-461A-9574-63DF7B560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02718" y="4464842"/>
          <a:ext cx="3561905" cy="7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988218</xdr:colOff>
      <xdr:row>21</xdr:row>
      <xdr:rowOff>0</xdr:rowOff>
    </xdr:from>
    <xdr:to>
      <xdr:col>11</xdr:col>
      <xdr:colOff>446869</xdr:colOff>
      <xdr:row>30</xdr:row>
      <xdr:rowOff>56929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0ABE09E-2BC5-4C45-905F-00149D05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22281" y="4191000"/>
          <a:ext cx="6447619" cy="1771429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1</xdr:row>
      <xdr:rowOff>107156</xdr:rowOff>
    </xdr:from>
    <xdr:to>
      <xdr:col>1</xdr:col>
      <xdr:colOff>2081213</xdr:colOff>
      <xdr:row>5</xdr:row>
      <xdr:rowOff>61913</xdr:rowOff>
    </xdr:to>
    <xdr:pic>
      <xdr:nvPicPr>
        <xdr:cNvPr id="12" name="Imagem 1" descr="cid:image001.jpg@01D496BB.41BEC8A0">
          <a:extLst>
            <a:ext uri="{FF2B5EF4-FFF2-40B4-BE49-F238E27FC236}">
              <a16:creationId xmlns:a16="http://schemas.microsoft.com/office/drawing/2014/main" id="{365459C7-B947-45FF-BE78-BA2E8B1E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285750"/>
          <a:ext cx="1843088" cy="919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47625</xdr:rowOff>
    </xdr:from>
    <xdr:to>
      <xdr:col>2</xdr:col>
      <xdr:colOff>33338</xdr:colOff>
      <xdr:row>5</xdr:row>
      <xdr:rowOff>21431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BEE9555-8556-4A40-87B0-3CC001C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7625"/>
          <a:ext cx="184308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512444</xdr:colOff>
      <xdr:row>24</xdr:row>
      <xdr:rowOff>161683</xdr:rowOff>
    </xdr:from>
    <xdr:to>
      <xdr:col>5</xdr:col>
      <xdr:colOff>18574</xdr:colOff>
      <xdr:row>45</xdr:row>
      <xdr:rowOff>146207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D54596-6C05-4590-9821-BEAD17688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4" name="grd_IADD" descr="|">
          <a:extLst>
            <a:ext uri="{FF2B5EF4-FFF2-40B4-BE49-F238E27FC236}">
              <a16:creationId xmlns:a16="http://schemas.microsoft.com/office/drawing/2014/main" id="{F72CBA46-266F-4800-8EF2-2DEC20CF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877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48</xdr:row>
      <xdr:rowOff>0</xdr:rowOff>
    </xdr:from>
    <xdr:to>
      <xdr:col>6</xdr:col>
      <xdr:colOff>28575</xdr:colOff>
      <xdr:row>48</xdr:row>
      <xdr:rowOff>9525</xdr:rowOff>
    </xdr:to>
    <xdr:pic>
      <xdr:nvPicPr>
        <xdr:cNvPr id="5" name="grd_IADU" descr="|">
          <a:extLst>
            <a:ext uri="{FF2B5EF4-FFF2-40B4-BE49-F238E27FC236}">
              <a16:creationId xmlns:a16="http://schemas.microsoft.com/office/drawing/2014/main" id="{AC50901E-A876-4EED-BBF9-730B0F9C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877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48</xdr:row>
      <xdr:rowOff>0</xdr:rowOff>
    </xdr:from>
    <xdr:to>
      <xdr:col>6</xdr:col>
      <xdr:colOff>47625</xdr:colOff>
      <xdr:row>48</xdr:row>
      <xdr:rowOff>9525</xdr:rowOff>
    </xdr:to>
    <xdr:pic>
      <xdr:nvPicPr>
        <xdr:cNvPr id="6" name="grd_IDHF" descr="Hide">
          <a:extLst>
            <a:ext uri="{FF2B5EF4-FFF2-40B4-BE49-F238E27FC236}">
              <a16:creationId xmlns:a16="http://schemas.microsoft.com/office/drawing/2014/main" id="{39F20784-AEEC-4084-A7A1-8414ED78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877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7" name="grd_IADD" descr="|">
          <a:extLst>
            <a:ext uri="{FF2B5EF4-FFF2-40B4-BE49-F238E27FC236}">
              <a16:creationId xmlns:a16="http://schemas.microsoft.com/office/drawing/2014/main" id="{721ED2AC-60CE-4B28-A238-FC2FB8AD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49</xdr:row>
      <xdr:rowOff>0</xdr:rowOff>
    </xdr:from>
    <xdr:to>
      <xdr:col>6</xdr:col>
      <xdr:colOff>28575</xdr:colOff>
      <xdr:row>49</xdr:row>
      <xdr:rowOff>9525</xdr:rowOff>
    </xdr:to>
    <xdr:pic>
      <xdr:nvPicPr>
        <xdr:cNvPr id="8" name="grd_IADU" descr="|">
          <a:extLst>
            <a:ext uri="{FF2B5EF4-FFF2-40B4-BE49-F238E27FC236}">
              <a16:creationId xmlns:a16="http://schemas.microsoft.com/office/drawing/2014/main" id="{AC445DDC-F142-4F77-8584-EB1916CC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49</xdr:row>
      <xdr:rowOff>0</xdr:rowOff>
    </xdr:from>
    <xdr:to>
      <xdr:col>6</xdr:col>
      <xdr:colOff>47625</xdr:colOff>
      <xdr:row>49</xdr:row>
      <xdr:rowOff>9525</xdr:rowOff>
    </xdr:to>
    <xdr:pic>
      <xdr:nvPicPr>
        <xdr:cNvPr id="9" name="grd_IDHF" descr="Hide">
          <a:extLst>
            <a:ext uri="{FF2B5EF4-FFF2-40B4-BE49-F238E27FC236}">
              <a16:creationId xmlns:a16="http://schemas.microsoft.com/office/drawing/2014/main" id="{3D061525-F864-46B9-9D1C-6983356E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389467</xdr:colOff>
      <xdr:row>18</xdr:row>
      <xdr:rowOff>107949</xdr:rowOff>
    </xdr:to>
    <xdr:pic>
      <xdr:nvPicPr>
        <xdr:cNvPr id="9" name="Imagem 8" descr="Logo_ADASA_2009_Hor_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7" y="2645833"/>
          <a:ext cx="2622550" cy="880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561975</xdr:colOff>
      <xdr:row>5</xdr:row>
      <xdr:rowOff>152400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46D078A2-5AD1-4D62-A9ED-A443DB7C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545041</xdr:colOff>
      <xdr:row>15</xdr:row>
      <xdr:rowOff>116946</xdr:rowOff>
    </xdr:from>
    <xdr:to>
      <xdr:col>13</xdr:col>
      <xdr:colOff>442117</xdr:colOff>
      <xdr:row>33</xdr:row>
      <xdr:rowOff>75934</xdr:rowOff>
    </xdr:to>
    <xdr:graphicFrame macro="">
      <xdr:nvGraphicFramePr>
        <xdr:cNvPr id="7" name="Gráfico 3">
          <a:extLst>
            <a:ext uri="{FF2B5EF4-FFF2-40B4-BE49-F238E27FC236}">
              <a16:creationId xmlns:a16="http://schemas.microsoft.com/office/drawing/2014/main" id="{FE8A0BFC-990B-46F3-BF96-179D4369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11906</xdr:rowOff>
    </xdr:from>
    <xdr:to>
      <xdr:col>1</xdr:col>
      <xdr:colOff>1847850</xdr:colOff>
      <xdr:row>4</xdr:row>
      <xdr:rowOff>135731</xdr:rowOff>
    </xdr:to>
    <xdr:pic>
      <xdr:nvPicPr>
        <xdr:cNvPr id="5" name="Imagem 1" descr="cid:image001.jpg@01D496BB.41BEC8A0">
          <a:extLst>
            <a:ext uri="{FF2B5EF4-FFF2-40B4-BE49-F238E27FC236}">
              <a16:creationId xmlns:a16="http://schemas.microsoft.com/office/drawing/2014/main" id="{8F31F05E-341C-4952-99DA-BFDE9D1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1906"/>
          <a:ext cx="1847850" cy="921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1847850</xdr:colOff>
      <xdr:row>3</xdr:row>
      <xdr:rowOff>323850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1A4C9F1B-AEB2-4CB4-91D6-A6A8E5D8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119063</xdr:rowOff>
    </xdr:from>
    <xdr:to>
      <xdr:col>1</xdr:col>
      <xdr:colOff>1847850</xdr:colOff>
      <xdr:row>5</xdr:row>
      <xdr:rowOff>92869</xdr:rowOff>
    </xdr:to>
    <xdr:pic>
      <xdr:nvPicPr>
        <xdr:cNvPr id="2" name="Imagem 1" descr="cid:image001.jpg@01D496BB.41BEC8A0">
          <a:extLst>
            <a:ext uri="{FF2B5EF4-FFF2-40B4-BE49-F238E27FC236}">
              <a16:creationId xmlns:a16="http://schemas.microsoft.com/office/drawing/2014/main" id="{6BA531B7-DFAF-498F-9535-605E8065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19063"/>
          <a:ext cx="1847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1238248</xdr:colOff>
      <xdr:row>18</xdr:row>
      <xdr:rowOff>11906</xdr:rowOff>
    </xdr:from>
    <xdr:to>
      <xdr:col>10</xdr:col>
      <xdr:colOff>464343</xdr:colOff>
      <xdr:row>36</xdr:row>
      <xdr:rowOff>67867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EEF75C-D86C-4111-A493-EECAD3BAF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357188</xdr:colOff>
      <xdr:row>0</xdr:row>
      <xdr:rowOff>134540</xdr:rowOff>
    </xdr:from>
    <xdr:to>
      <xdr:col>9</xdr:col>
      <xdr:colOff>845344</xdr:colOff>
      <xdr:row>17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64AE014-AF5A-4B0E-A74C-3E77743DC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297655</xdr:colOff>
      <xdr:row>17</xdr:row>
      <xdr:rowOff>23812</xdr:rowOff>
    </xdr:from>
    <xdr:to>
      <xdr:col>7</xdr:col>
      <xdr:colOff>309563</xdr:colOff>
      <xdr:row>34</xdr:row>
      <xdr:rowOff>175022</xdr:rowOff>
    </xdr:to>
    <xdr:graphicFrame macro="">
      <xdr:nvGraphicFramePr>
        <xdr:cNvPr id="13" name="Gráfico 5">
          <a:extLst>
            <a:ext uri="{FF2B5EF4-FFF2-40B4-BE49-F238E27FC236}">
              <a16:creationId xmlns:a16="http://schemas.microsoft.com/office/drawing/2014/main" id="{B7B5DFB5-C7BE-48A2-9366-E14006864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800100</xdr:colOff>
      <xdr:row>5</xdr:row>
      <xdr:rowOff>123825</xdr:rowOff>
    </xdr:to>
    <xdr:pic>
      <xdr:nvPicPr>
        <xdr:cNvPr id="2" name="Imagem 1" descr="cid:image001.jpg@01D496BB.41BEC8A0">
          <a:extLst>
            <a:ext uri="{FF2B5EF4-FFF2-40B4-BE49-F238E27FC236}">
              <a16:creationId xmlns:a16="http://schemas.microsoft.com/office/drawing/2014/main" id="{E30B12DD-EE0D-4B92-A181-32E7CFEB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241762</xdr:colOff>
      <xdr:row>4</xdr:row>
      <xdr:rowOff>161925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26CED4D7-3E95-4C10-9711-FB4E03F5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887682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1847850</xdr:colOff>
      <xdr:row>5</xdr:row>
      <xdr:rowOff>152400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5C910AA-34AF-42E8-96B6-5EC01853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178594"/>
          <a:ext cx="1847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150176</xdr:colOff>
      <xdr:row>17</xdr:row>
      <xdr:rowOff>71757</xdr:rowOff>
    </xdr:from>
    <xdr:to>
      <xdr:col>16</xdr:col>
      <xdr:colOff>106680</xdr:colOff>
      <xdr:row>32</xdr:row>
      <xdr:rowOff>110491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4CFD80-09E6-406D-A9DF-2331D3B8A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?69D9A924" TargetMode="External"/><Relationship Id="rId1" Type="http://schemas.openxmlformats.org/officeDocument/2006/relationships/externalLinkPath" Target="file:///\\69D9A924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/>
          <cell r="E12"/>
          <cell r="F12">
            <v>36.981382756791078</v>
          </cell>
          <cell r="G12"/>
          <cell r="H12"/>
          <cell r="I12"/>
          <cell r="J12"/>
          <cell r="O12"/>
          <cell r="P12">
            <v>4.5877525252525251</v>
          </cell>
          <cell r="Q12"/>
          <cell r="R12"/>
          <cell r="S12"/>
          <cell r="T12"/>
          <cell r="U12"/>
          <cell r="V12"/>
          <cell r="W12"/>
          <cell r="X12"/>
          <cell r="Y12"/>
          <cell r="AB12"/>
          <cell r="AC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/>
          <cell r="E14"/>
          <cell r="F14"/>
          <cell r="G14">
            <v>35.604079263915573</v>
          </cell>
          <cell r="H14"/>
          <cell r="I14"/>
          <cell r="J14"/>
          <cell r="O14"/>
          <cell r="P14">
            <v>4.5877525252525251</v>
          </cell>
          <cell r="Q14"/>
          <cell r="R14"/>
          <cell r="S14"/>
          <cell r="T14"/>
          <cell r="U14"/>
          <cell r="V14"/>
          <cell r="W14"/>
          <cell r="X14"/>
          <cell r="Y14"/>
          <cell r="AB14"/>
          <cell r="AC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/>
          <cell r="E16"/>
          <cell r="F16"/>
          <cell r="G16">
            <v>44.505099079894464</v>
          </cell>
          <cell r="H16"/>
          <cell r="I16"/>
          <cell r="J16"/>
          <cell r="O16"/>
          <cell r="P16">
            <v>4.5877525252525251</v>
          </cell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/>
          <cell r="E18"/>
          <cell r="F18">
            <v>73.962765513582156</v>
          </cell>
          <cell r="G18"/>
          <cell r="H18">
            <v>19.164908030335017</v>
          </cell>
          <cell r="I18"/>
          <cell r="J18"/>
          <cell r="O18"/>
          <cell r="P18"/>
          <cell r="Q18">
            <v>5.955303030303031</v>
          </cell>
          <cell r="R18"/>
          <cell r="S18"/>
          <cell r="T18"/>
          <cell r="U18"/>
          <cell r="V18"/>
          <cell r="W18"/>
          <cell r="X18"/>
          <cell r="Y18"/>
          <cell r="AB18"/>
          <cell r="AC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/>
          <cell r="E20"/>
          <cell r="F20">
            <v>92.453456891977709</v>
          </cell>
          <cell r="G20"/>
          <cell r="H20">
            <v>23.95613503791877</v>
          </cell>
          <cell r="I20"/>
          <cell r="J20"/>
          <cell r="O20"/>
          <cell r="P20"/>
          <cell r="Q20">
            <v>5.955303030303031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/>
          <cell r="E22"/>
          <cell r="F22"/>
          <cell r="G22">
            <v>71.208158527831145</v>
          </cell>
          <cell r="H22">
            <v>19.164908030335017</v>
          </cell>
          <cell r="I22"/>
          <cell r="J22"/>
          <cell r="O22"/>
          <cell r="P22"/>
          <cell r="Q22">
            <v>5.955303030303031</v>
          </cell>
          <cell r="R22"/>
          <cell r="S22"/>
          <cell r="T22"/>
          <cell r="U22"/>
          <cell r="V22"/>
          <cell r="W22"/>
          <cell r="X22"/>
          <cell r="Y22"/>
          <cell r="AB22"/>
          <cell r="AC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/>
          <cell r="E24"/>
          <cell r="F24"/>
          <cell r="G24">
            <v>89.010198159788928</v>
          </cell>
          <cell r="H24">
            <v>23.95613503791877</v>
          </cell>
          <cell r="I24"/>
          <cell r="J24"/>
          <cell r="O24"/>
          <cell r="P24"/>
          <cell r="Q24">
            <v>5.955303030303031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/>
          <cell r="E26"/>
          <cell r="F26">
            <v>110.94414827037323</v>
          </cell>
          <cell r="G26"/>
          <cell r="H26">
            <v>19.164908030335017</v>
          </cell>
          <cell r="I26"/>
          <cell r="J26"/>
          <cell r="O26"/>
          <cell r="P26"/>
          <cell r="Q26"/>
          <cell r="R26">
            <v>6.7662878787878791</v>
          </cell>
          <cell r="S26"/>
          <cell r="T26"/>
          <cell r="U26"/>
          <cell r="V26"/>
          <cell r="W26"/>
          <cell r="X26"/>
          <cell r="Y26"/>
          <cell r="AB26"/>
          <cell r="AC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/>
          <cell r="E28"/>
          <cell r="F28"/>
          <cell r="G28">
            <v>106.81223779174672</v>
          </cell>
          <cell r="H28">
            <v>19.164908030335017</v>
          </cell>
          <cell r="I28"/>
          <cell r="J28"/>
          <cell r="O28"/>
          <cell r="P28"/>
          <cell r="Q28"/>
          <cell r="R28">
            <v>6.7662878787878791</v>
          </cell>
          <cell r="S28"/>
          <cell r="T28"/>
          <cell r="U28"/>
          <cell r="V28"/>
          <cell r="W28"/>
          <cell r="X28"/>
          <cell r="Y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/>
          <cell r="F30"/>
          <cell r="G30"/>
          <cell r="H30">
            <v>19.164908030335017</v>
          </cell>
          <cell r="I30"/>
          <cell r="J30"/>
          <cell r="O30"/>
          <cell r="P30">
            <v>4.5877525252525251</v>
          </cell>
          <cell r="Q30"/>
          <cell r="R30"/>
          <cell r="S30"/>
          <cell r="T30"/>
          <cell r="U30"/>
          <cell r="V30"/>
          <cell r="W30"/>
          <cell r="X30"/>
          <cell r="Y30"/>
          <cell r="AB30"/>
          <cell r="AC30"/>
          <cell r="AE30"/>
          <cell r="AF30">
            <v>2.6654589371980677</v>
          </cell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/>
          <cell r="F32"/>
          <cell r="G32"/>
          <cell r="H32">
            <v>23.95613503791877</v>
          </cell>
          <cell r="I32"/>
          <cell r="J32"/>
          <cell r="O32"/>
          <cell r="P32">
            <v>4.5877525252525251</v>
          </cell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E32"/>
          <cell r="AF32">
            <v>2.6654589371980677</v>
          </cell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/>
          <cell r="E34">
            <v>41.767556874024315</v>
          </cell>
          <cell r="F34"/>
          <cell r="G34"/>
          <cell r="H34">
            <v>19.164908030335017</v>
          </cell>
          <cell r="I34"/>
          <cell r="J34"/>
          <cell r="O34"/>
          <cell r="P34">
            <v>4.5877525252525251</v>
          </cell>
          <cell r="Q34"/>
          <cell r="R34"/>
          <cell r="S34"/>
          <cell r="T34"/>
          <cell r="U34"/>
          <cell r="V34"/>
          <cell r="W34"/>
          <cell r="X34"/>
          <cell r="Y34"/>
          <cell r="AB34"/>
          <cell r="AC34"/>
          <cell r="AE34"/>
          <cell r="AF34">
            <v>2.6654589371980677</v>
          </cell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/>
          <cell r="E36">
            <v>52.209446092530392</v>
          </cell>
          <cell r="F36"/>
          <cell r="G36"/>
          <cell r="H36">
            <v>23.95613503791877</v>
          </cell>
          <cell r="I36"/>
          <cell r="J36"/>
          <cell r="O36"/>
          <cell r="P36">
            <v>4.5877525252525251</v>
          </cell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E36"/>
          <cell r="AF36">
            <v>2.6654589371980677</v>
          </cell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/>
          <cell r="F38"/>
          <cell r="G38"/>
          <cell r="H38">
            <v>19.164908030335017</v>
          </cell>
          <cell r="I38"/>
          <cell r="J38"/>
          <cell r="O38"/>
          <cell r="P38"/>
          <cell r="Q38">
            <v>5.955303030303031</v>
          </cell>
          <cell r="R38"/>
          <cell r="S38"/>
          <cell r="T38"/>
          <cell r="U38"/>
          <cell r="V38"/>
          <cell r="W38"/>
          <cell r="X38"/>
          <cell r="Y38"/>
          <cell r="AB38"/>
          <cell r="AC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/>
          <cell r="E40">
            <v>41.767556874024315</v>
          </cell>
          <cell r="F40"/>
          <cell r="G40"/>
          <cell r="H40">
            <v>19.164908030335017</v>
          </cell>
          <cell r="I40"/>
          <cell r="J40"/>
          <cell r="O40"/>
          <cell r="P40"/>
          <cell r="Q40">
            <v>5.955303030303031</v>
          </cell>
          <cell r="R40"/>
          <cell r="S40"/>
          <cell r="T40"/>
          <cell r="U40"/>
          <cell r="V40"/>
          <cell r="W40"/>
          <cell r="X40"/>
          <cell r="Y40"/>
          <cell r="AB40"/>
          <cell r="AC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/>
          <cell r="F42">
            <v>36.981382756791078</v>
          </cell>
          <cell r="G42"/>
          <cell r="H42">
            <v>19.164908030335017</v>
          </cell>
          <cell r="I42"/>
          <cell r="J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AB42"/>
          <cell r="AC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/>
          <cell r="E44">
            <v>41.767556874024315</v>
          </cell>
          <cell r="F44"/>
          <cell r="G44">
            <v>35.604079263915573</v>
          </cell>
          <cell r="H44">
            <v>19.164908030335017</v>
          </cell>
          <cell r="I44"/>
          <cell r="J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AB44"/>
          <cell r="AC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/>
          <cell r="F46">
            <v>147.92553102716431</v>
          </cell>
          <cell r="G46"/>
          <cell r="H46">
            <v>38.329816060670034</v>
          </cell>
          <cell r="I46"/>
          <cell r="J46"/>
          <cell r="O46"/>
          <cell r="P46">
            <v>9.1755050505050502</v>
          </cell>
          <cell r="Q46"/>
          <cell r="R46"/>
          <cell r="S46"/>
          <cell r="T46">
            <v>21.484848484848484</v>
          </cell>
          <cell r="U46"/>
          <cell r="V46"/>
          <cell r="W46"/>
          <cell r="X46"/>
          <cell r="Y46"/>
          <cell r="AB46"/>
          <cell r="AC46"/>
          <cell r="AE46"/>
          <cell r="AF46"/>
          <cell r="AG46"/>
          <cell r="AH46"/>
          <cell r="AI46">
            <v>51.491820377689947</v>
          </cell>
          <cell r="AJ46">
            <v>9.9954710144927539</v>
          </cell>
          <cell r="AK46">
            <v>19.990942028985508</v>
          </cell>
          <cell r="AL46"/>
          <cell r="AM46"/>
          <cell r="AN46">
            <v>18.779369784804569</v>
          </cell>
          <cell r="AO46">
            <v>6.0578612209046998</v>
          </cell>
          <cell r="AP46"/>
          <cell r="AQ46"/>
          <cell r="AR46"/>
          <cell r="AS46"/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/>
          <cell r="F48">
            <v>184.90691378395542</v>
          </cell>
          <cell r="G48"/>
          <cell r="H48">
            <v>47.91227007583754</v>
          </cell>
          <cell r="I48"/>
          <cell r="J48"/>
          <cell r="O48"/>
          <cell r="P48">
            <v>9.1755050505050502</v>
          </cell>
          <cell r="Q48"/>
          <cell r="R48"/>
          <cell r="S48"/>
          <cell r="T48">
            <v>21.484848484848484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E48"/>
          <cell r="AF48"/>
          <cell r="AG48"/>
          <cell r="AH48"/>
          <cell r="AI48">
            <v>51.491820377689947</v>
          </cell>
          <cell r="AJ48">
            <v>9.9954710144927539</v>
          </cell>
          <cell r="AK48">
            <v>19.990942028985508</v>
          </cell>
          <cell r="AL48"/>
          <cell r="AM48"/>
          <cell r="AN48">
            <v>18.779369784804569</v>
          </cell>
          <cell r="AO48">
            <v>6.0578612209046998</v>
          </cell>
          <cell r="AP48"/>
          <cell r="AQ48"/>
          <cell r="AR48"/>
          <cell r="AS48"/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/>
          <cell r="E50">
            <v>83.53511374804863</v>
          </cell>
          <cell r="F50"/>
          <cell r="G50">
            <v>142.41631705566229</v>
          </cell>
          <cell r="H50">
            <v>38.329816060670034</v>
          </cell>
          <cell r="I50"/>
          <cell r="J50"/>
          <cell r="O50"/>
          <cell r="P50">
            <v>9.1755050505050502</v>
          </cell>
          <cell r="Q50"/>
          <cell r="R50"/>
          <cell r="S50"/>
          <cell r="T50">
            <v>21.484848484848484</v>
          </cell>
          <cell r="U50"/>
          <cell r="V50"/>
          <cell r="W50"/>
          <cell r="X50"/>
          <cell r="Y50"/>
          <cell r="AB50"/>
          <cell r="AC50"/>
          <cell r="AE50"/>
          <cell r="AF50"/>
          <cell r="AG50"/>
          <cell r="AH50"/>
          <cell r="AI50">
            <v>51.491820377689947</v>
          </cell>
          <cell r="AJ50">
            <v>9.9954710144927539</v>
          </cell>
          <cell r="AK50">
            <v>19.990942028985508</v>
          </cell>
          <cell r="AL50"/>
          <cell r="AM50"/>
          <cell r="AN50">
            <v>18.779369784804569</v>
          </cell>
          <cell r="AO50">
            <v>6.0578612209046998</v>
          </cell>
          <cell r="AP50"/>
          <cell r="AQ50"/>
          <cell r="AR50"/>
          <cell r="AS50"/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/>
          <cell r="E52">
            <v>104.41889218506078</v>
          </cell>
          <cell r="F52"/>
          <cell r="G52">
            <v>178.02039631957786</v>
          </cell>
          <cell r="H52">
            <v>47.91227007583754</v>
          </cell>
          <cell r="I52"/>
          <cell r="J52"/>
          <cell r="O52"/>
          <cell r="P52">
            <v>9.1755050505050502</v>
          </cell>
          <cell r="Q52"/>
          <cell r="R52"/>
          <cell r="S52"/>
          <cell r="T52">
            <v>21.484848484848484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>
            <v>51.491820377689947</v>
          </cell>
          <cell r="AJ52">
            <v>9.9954710144927539</v>
          </cell>
          <cell r="AK52">
            <v>19.990942028985508</v>
          </cell>
          <cell r="AL52"/>
          <cell r="AM52"/>
          <cell r="AN52">
            <v>18.779369784804569</v>
          </cell>
          <cell r="AO52">
            <v>6.0578612209046998</v>
          </cell>
          <cell r="AP52"/>
          <cell r="AQ52"/>
          <cell r="AR52"/>
          <cell r="AS52"/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/>
          <cell r="E54"/>
          <cell r="F54">
            <v>36.981382756791078</v>
          </cell>
          <cell r="G54"/>
          <cell r="H54">
            <v>19.164908030335017</v>
          </cell>
          <cell r="I54"/>
          <cell r="J54"/>
          <cell r="O54"/>
          <cell r="P54"/>
          <cell r="Q54"/>
          <cell r="R54">
            <v>6.7662878787878791</v>
          </cell>
          <cell r="S54"/>
          <cell r="T54"/>
          <cell r="U54"/>
          <cell r="V54"/>
          <cell r="W54">
            <v>1.0097676767676769</v>
          </cell>
          <cell r="X54"/>
          <cell r="Y54"/>
          <cell r="AB54"/>
          <cell r="AC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/>
          <cell r="E56"/>
          <cell r="F56"/>
          <cell r="G56">
            <v>35.604079263915573</v>
          </cell>
          <cell r="H56">
            <v>19.164908030335017</v>
          </cell>
          <cell r="I56"/>
          <cell r="J56"/>
          <cell r="O56"/>
          <cell r="P56"/>
          <cell r="Q56"/>
          <cell r="R56">
            <v>6.7662878787878791</v>
          </cell>
          <cell r="S56"/>
          <cell r="T56"/>
          <cell r="U56"/>
          <cell r="V56"/>
          <cell r="W56">
            <v>1.0097676767676769</v>
          </cell>
          <cell r="X56"/>
          <cell r="Y56"/>
          <cell r="AB56"/>
          <cell r="AC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/>
          <cell r="E58"/>
          <cell r="F58">
            <v>73.962765513582156</v>
          </cell>
          <cell r="G58"/>
          <cell r="H58">
            <v>19.164908030335017</v>
          </cell>
          <cell r="I58"/>
          <cell r="J58"/>
          <cell r="O58"/>
          <cell r="P58"/>
          <cell r="Q58">
            <v>5.955303030303031</v>
          </cell>
          <cell r="R58"/>
          <cell r="S58"/>
          <cell r="T58"/>
          <cell r="U58"/>
          <cell r="V58"/>
          <cell r="W58"/>
          <cell r="X58"/>
          <cell r="Y58"/>
          <cell r="AB58"/>
          <cell r="AC58"/>
          <cell r="AE58"/>
          <cell r="AF58"/>
          <cell r="AG58">
            <v>24.231444883618799</v>
          </cell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/>
          <cell r="E60"/>
          <cell r="F60">
            <v>92.453456891977709</v>
          </cell>
          <cell r="G60"/>
          <cell r="H60">
            <v>23.95613503791877</v>
          </cell>
          <cell r="I60"/>
          <cell r="J60"/>
          <cell r="O60"/>
          <cell r="P60"/>
          <cell r="Q60">
            <v>5.955303030303031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E60"/>
          <cell r="AF60"/>
          <cell r="AG60">
            <v>24.231444883618799</v>
          </cell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/>
          <cell r="E62"/>
          <cell r="F62"/>
          <cell r="G62">
            <v>35.604079263915573</v>
          </cell>
          <cell r="H62">
            <v>19.164908030335017</v>
          </cell>
          <cell r="I62"/>
          <cell r="J62"/>
          <cell r="O62"/>
          <cell r="P62"/>
          <cell r="Q62"/>
          <cell r="R62"/>
          <cell r="S62">
            <v>12.267676767676768</v>
          </cell>
          <cell r="T62"/>
          <cell r="U62"/>
          <cell r="V62"/>
          <cell r="W62"/>
          <cell r="X62"/>
          <cell r="Y62"/>
          <cell r="AB62"/>
          <cell r="AC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/>
          <cell r="E64"/>
          <cell r="F64"/>
          <cell r="G64">
            <v>35.604079263915573</v>
          </cell>
          <cell r="H64">
            <v>19.164908030335017</v>
          </cell>
          <cell r="I64"/>
          <cell r="J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AB64"/>
          <cell r="AC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>
            <v>18.173583662714098</v>
          </cell>
          <cell r="AQ64">
            <v>11.509936319718928</v>
          </cell>
          <cell r="AR64"/>
          <cell r="AS64"/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/>
          <cell r="E66"/>
          <cell r="F66"/>
          <cell r="G66">
            <v>44.505099079894464</v>
          </cell>
          <cell r="H66">
            <v>23.95613503791877</v>
          </cell>
          <cell r="I66"/>
          <cell r="J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>
            <v>18.173583662714098</v>
          </cell>
          <cell r="AQ66">
            <v>11.509936319718928</v>
          </cell>
          <cell r="AR66"/>
          <cell r="AS66"/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/>
          <cell r="E68"/>
          <cell r="F68"/>
          <cell r="G68"/>
          <cell r="H68"/>
          <cell r="I68"/>
          <cell r="J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AB68"/>
          <cell r="AC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/>
          <cell r="E70"/>
          <cell r="F70"/>
          <cell r="G70">
            <v>35.604079263915573</v>
          </cell>
          <cell r="H70">
            <v>19.164908030335017</v>
          </cell>
          <cell r="I70"/>
          <cell r="J70"/>
          <cell r="O70"/>
          <cell r="P70"/>
          <cell r="Q70"/>
          <cell r="R70"/>
          <cell r="S70"/>
          <cell r="T70">
            <v>21.484848484848484</v>
          </cell>
          <cell r="U70"/>
          <cell r="V70"/>
          <cell r="W70"/>
          <cell r="X70"/>
          <cell r="Y70"/>
          <cell r="AB70"/>
          <cell r="AC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3.0289306104523499</v>
          </cell>
          <cell r="AS70"/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/>
          <cell r="E72"/>
          <cell r="F72"/>
          <cell r="G72">
            <v>35.604079263915573</v>
          </cell>
          <cell r="H72">
            <v>38.329816060670034</v>
          </cell>
          <cell r="I72"/>
          <cell r="J72"/>
          <cell r="O72"/>
          <cell r="P72"/>
          <cell r="Q72"/>
          <cell r="R72"/>
          <cell r="S72"/>
          <cell r="T72">
            <v>21.484848484848484</v>
          </cell>
          <cell r="U72"/>
          <cell r="V72"/>
          <cell r="W72"/>
          <cell r="X72"/>
          <cell r="Y72"/>
          <cell r="AB72"/>
          <cell r="AC72"/>
          <cell r="AE72"/>
          <cell r="AF72"/>
          <cell r="AG72"/>
          <cell r="AH72"/>
          <cell r="AI72"/>
          <cell r="AJ72"/>
          <cell r="AK72"/>
          <cell r="AL72"/>
          <cell r="AM72"/>
          <cell r="AN72">
            <v>18.779369784804569</v>
          </cell>
          <cell r="AO72"/>
          <cell r="AP72"/>
          <cell r="AQ72"/>
          <cell r="AR72"/>
          <cell r="AS72"/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/>
          <cell r="E74"/>
          <cell r="F74"/>
          <cell r="G74">
            <v>44.505099079894464</v>
          </cell>
          <cell r="H74">
            <v>47.91227007583754</v>
          </cell>
          <cell r="I74"/>
          <cell r="J74"/>
          <cell r="O74"/>
          <cell r="P74"/>
          <cell r="Q74"/>
          <cell r="R74"/>
          <cell r="S74"/>
          <cell r="T74">
            <v>21.484848484848484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E74"/>
          <cell r="AF74"/>
          <cell r="AG74"/>
          <cell r="AH74"/>
          <cell r="AI74"/>
          <cell r="AJ74"/>
          <cell r="AK74"/>
          <cell r="AL74"/>
          <cell r="AM74"/>
          <cell r="AN74">
            <v>18.779369784804569</v>
          </cell>
          <cell r="AO74"/>
          <cell r="AP74"/>
          <cell r="AQ74"/>
          <cell r="AR74"/>
          <cell r="AS74"/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/>
          <cell r="E76"/>
          <cell r="F76">
            <v>73.962765513582156</v>
          </cell>
          <cell r="G76"/>
          <cell r="H76">
            <v>19.164908030335017</v>
          </cell>
          <cell r="I76"/>
          <cell r="J76"/>
          <cell r="O76"/>
          <cell r="P76"/>
          <cell r="Q76"/>
          <cell r="R76"/>
          <cell r="S76"/>
          <cell r="T76">
            <v>21.484848484848484</v>
          </cell>
          <cell r="U76"/>
          <cell r="V76"/>
          <cell r="W76"/>
          <cell r="X76"/>
          <cell r="Y76"/>
          <cell r="AB76"/>
          <cell r="AC76"/>
          <cell r="AE76"/>
          <cell r="AF76"/>
          <cell r="AG76">
            <v>24.231444883618799</v>
          </cell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/>
          <cell r="E78"/>
          <cell r="F78">
            <v>92.453456891977709</v>
          </cell>
          <cell r="G78"/>
          <cell r="H78">
            <v>23.95613503791877</v>
          </cell>
          <cell r="I78"/>
          <cell r="J78"/>
          <cell r="O78"/>
          <cell r="P78"/>
          <cell r="Q78"/>
          <cell r="R78"/>
          <cell r="S78"/>
          <cell r="T78">
            <v>21.484848484848484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E78"/>
          <cell r="AF78"/>
          <cell r="AG78">
            <v>24.231444883618799</v>
          </cell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/>
          <cell r="E80"/>
          <cell r="F80"/>
          <cell r="G80">
            <v>35.604079263915573</v>
          </cell>
          <cell r="H80">
            <v>19.164908030335017</v>
          </cell>
          <cell r="I80"/>
          <cell r="J80"/>
          <cell r="O80"/>
          <cell r="P80"/>
          <cell r="Q80"/>
          <cell r="R80">
            <v>6.7662878787878791</v>
          </cell>
          <cell r="S80"/>
          <cell r="T80"/>
          <cell r="U80"/>
          <cell r="V80"/>
          <cell r="W80"/>
          <cell r="X80"/>
          <cell r="Y80"/>
          <cell r="AB80"/>
          <cell r="AC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/>
          <cell r="E82"/>
          <cell r="F82"/>
          <cell r="G82">
            <v>44.505099079894464</v>
          </cell>
          <cell r="H82">
            <v>23.95613503791877</v>
          </cell>
          <cell r="I82"/>
          <cell r="J82"/>
          <cell r="O82"/>
          <cell r="P82"/>
          <cell r="Q82"/>
          <cell r="R82">
            <v>6.7662878787878791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/>
          <cell r="E84"/>
          <cell r="F84"/>
          <cell r="G84"/>
          <cell r="H84"/>
          <cell r="I84">
            <v>63.933948941063235</v>
          </cell>
          <cell r="J84">
            <v>98.357243211221771</v>
          </cell>
          <cell r="O84"/>
          <cell r="P84">
            <v>4.5877525252525251</v>
          </cell>
          <cell r="Q84">
            <v>5.955303030303031</v>
          </cell>
          <cell r="R84"/>
          <cell r="S84"/>
          <cell r="T84">
            <v>21.484848484848484</v>
          </cell>
          <cell r="U84">
            <v>11.052727272727273</v>
          </cell>
          <cell r="V84"/>
          <cell r="W84"/>
          <cell r="X84"/>
          <cell r="Y84"/>
          <cell r="AB84"/>
          <cell r="AC84"/>
          <cell r="AE84"/>
          <cell r="AF84"/>
          <cell r="AG84">
            <v>24.231444883618799</v>
          </cell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/>
          <cell r="E86"/>
          <cell r="F86"/>
          <cell r="G86">
            <v>35.604079263915573</v>
          </cell>
          <cell r="H86">
            <v>19.164908030335017</v>
          </cell>
          <cell r="I86"/>
          <cell r="J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>
            <v>45.719191919191914</v>
          </cell>
          <cell r="AB86"/>
          <cell r="AC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/>
          <cell r="E88"/>
          <cell r="F88"/>
          <cell r="G88">
            <v>44.505099079894464</v>
          </cell>
          <cell r="H88">
            <v>23.95613503791877</v>
          </cell>
          <cell r="I88"/>
          <cell r="J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>
            <v>45.719191919191914</v>
          </cell>
          <cell r="AA88"/>
          <cell r="AB88"/>
          <cell r="AC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/>
          <cell r="E90"/>
          <cell r="F90"/>
          <cell r="G90">
            <v>71.208158527831145</v>
          </cell>
          <cell r="H90">
            <v>38.329816060670034</v>
          </cell>
          <cell r="I90"/>
          <cell r="J90"/>
          <cell r="O90"/>
          <cell r="P90"/>
          <cell r="Q90"/>
          <cell r="R90"/>
          <cell r="S90">
            <v>12.267676767676768</v>
          </cell>
          <cell r="T90"/>
          <cell r="U90"/>
          <cell r="V90"/>
          <cell r="W90"/>
          <cell r="X90"/>
          <cell r="Y90"/>
          <cell r="AB90"/>
          <cell r="AC90"/>
          <cell r="AE90"/>
          <cell r="AF90"/>
          <cell r="AG90"/>
          <cell r="AH90"/>
          <cell r="AI90"/>
          <cell r="AJ90">
            <v>9.9954710144927539</v>
          </cell>
          <cell r="AK90"/>
          <cell r="AL90"/>
          <cell r="AM90"/>
          <cell r="AN90">
            <v>18.779369784804569</v>
          </cell>
          <cell r="AO90"/>
          <cell r="AP90"/>
          <cell r="AQ90"/>
          <cell r="AR90"/>
          <cell r="AS90"/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/>
          <cell r="E92"/>
          <cell r="F92"/>
          <cell r="G92">
            <v>89.010198159788928</v>
          </cell>
          <cell r="H92">
            <v>47.91227007583754</v>
          </cell>
          <cell r="I92"/>
          <cell r="J92"/>
          <cell r="O92"/>
          <cell r="P92"/>
          <cell r="Q92"/>
          <cell r="R92"/>
          <cell r="S92">
            <v>12.267676767676768</v>
          </cell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E92"/>
          <cell r="AF92"/>
          <cell r="AG92"/>
          <cell r="AH92"/>
          <cell r="AI92"/>
          <cell r="AJ92">
            <v>9.9954710144927539</v>
          </cell>
          <cell r="AK92"/>
          <cell r="AL92"/>
          <cell r="AM92"/>
          <cell r="AN92">
            <v>18.779369784804569</v>
          </cell>
          <cell r="AO92"/>
          <cell r="AP92"/>
          <cell r="AQ92"/>
          <cell r="AR92"/>
          <cell r="AS92"/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/>
          <cell r="E94"/>
          <cell r="F94">
            <v>36.981382756791078</v>
          </cell>
          <cell r="G94"/>
          <cell r="H94">
            <v>19.164908030335017</v>
          </cell>
          <cell r="I94"/>
          <cell r="J94"/>
          <cell r="O94"/>
          <cell r="P94">
            <v>4.5877525252525251</v>
          </cell>
          <cell r="Q94"/>
          <cell r="R94"/>
          <cell r="S94"/>
          <cell r="T94"/>
          <cell r="U94"/>
          <cell r="V94"/>
          <cell r="W94"/>
          <cell r="X94"/>
          <cell r="Y94"/>
          <cell r="AB94"/>
          <cell r="AC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/>
          <cell r="E96"/>
          <cell r="F96">
            <v>36.981382756791078</v>
          </cell>
          <cell r="G96">
            <v>35.604079263915573</v>
          </cell>
          <cell r="H96">
            <v>19.164908030335017</v>
          </cell>
          <cell r="I96"/>
          <cell r="J96"/>
          <cell r="O96"/>
          <cell r="P96">
            <v>4.5877525252525251</v>
          </cell>
          <cell r="Q96"/>
          <cell r="R96"/>
          <cell r="S96"/>
          <cell r="T96"/>
          <cell r="U96"/>
          <cell r="V96"/>
          <cell r="W96"/>
          <cell r="X96"/>
          <cell r="Y96"/>
          <cell r="AB96"/>
          <cell r="AC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/>
          <cell r="E98"/>
          <cell r="F98"/>
          <cell r="G98">
            <v>35.604079263915573</v>
          </cell>
          <cell r="H98">
            <v>19.164908030335017</v>
          </cell>
          <cell r="I98"/>
          <cell r="J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>
            <v>52.119191919191913</v>
          </cell>
          <cell r="AB98"/>
          <cell r="AC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/>
          <cell r="E100"/>
          <cell r="F100"/>
          <cell r="G100">
            <v>35.604079263915573</v>
          </cell>
          <cell r="H100">
            <v>19.164908030335017</v>
          </cell>
          <cell r="I100"/>
          <cell r="J100"/>
          <cell r="O100"/>
          <cell r="P100"/>
          <cell r="Q100"/>
          <cell r="R100"/>
          <cell r="S100"/>
          <cell r="T100"/>
          <cell r="U100"/>
          <cell r="V100"/>
          <cell r="W100"/>
          <cell r="X100">
            <v>22.620833333333334</v>
          </cell>
          <cell r="Y100"/>
          <cell r="AB100"/>
          <cell r="AC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/>
          <cell r="E102"/>
          <cell r="F102"/>
          <cell r="G102"/>
          <cell r="H102"/>
          <cell r="I102"/>
          <cell r="J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AB102"/>
          <cell r="AC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>
    <tabColor theme="1"/>
  </sheetPr>
  <dimension ref="A1:M7"/>
  <sheetViews>
    <sheetView showGridLines="0" zoomScale="90" zoomScaleNormal="90" workbookViewId="0">
      <selection activeCell="F10" sqref="F10"/>
    </sheetView>
  </sheetViews>
  <sheetFormatPr defaultRowHeight="14.4" x14ac:dyDescent="0.3"/>
  <cols>
    <col min="1" max="1" width="4.6640625" style="38" customWidth="1"/>
    <col min="2" max="2" width="55.44140625" style="38" bestFit="1" customWidth="1"/>
    <col min="3" max="3" width="25.109375" style="38" bestFit="1" customWidth="1"/>
    <col min="4" max="4" width="2.33203125" style="38" customWidth="1"/>
    <col min="5" max="5" width="20.109375" style="38" customWidth="1"/>
    <col min="6" max="6" width="25.33203125" style="38" bestFit="1" customWidth="1"/>
    <col min="7" max="7" width="14.44140625" style="38" bestFit="1" customWidth="1"/>
    <col min="10" max="10" width="17.44140625" bestFit="1" customWidth="1"/>
    <col min="13" max="13" width="13.109375" bestFit="1" customWidth="1"/>
  </cols>
  <sheetData>
    <row r="1" spans="1:13" s="38" customFormat="1" ht="13.8" x14ac:dyDescent="0.3"/>
    <row r="2" spans="1:13" s="38" customFormat="1" ht="13.8" x14ac:dyDescent="0.3"/>
    <row r="3" spans="1:13" s="38" customFormat="1" ht="18.75" customHeight="1" x14ac:dyDescent="0.3">
      <c r="B3" s="293" t="s">
        <v>0</v>
      </c>
      <c r="C3" s="293"/>
      <c r="D3" s="293"/>
      <c r="E3" s="293"/>
      <c r="F3" s="293"/>
      <c r="G3" s="293"/>
    </row>
    <row r="4" spans="1:13" s="38" customFormat="1" ht="28.5" customHeight="1" x14ac:dyDescent="0.3">
      <c r="M4" s="77"/>
    </row>
    <row r="5" spans="1:13" x14ac:dyDescent="0.3">
      <c r="A5"/>
      <c r="C5" s="44"/>
      <c r="D5"/>
      <c r="E5"/>
      <c r="F5"/>
      <c r="G5"/>
    </row>
    <row r="6" spans="1:13" x14ac:dyDescent="0.3">
      <c r="A6"/>
      <c r="C6" s="42"/>
      <c r="D6"/>
      <c r="E6"/>
      <c r="F6"/>
      <c r="G6"/>
    </row>
    <row r="7" spans="1:13" x14ac:dyDescent="0.3">
      <c r="A7"/>
      <c r="C7" s="42"/>
      <c r="D7"/>
      <c r="E7"/>
      <c r="F7"/>
      <c r="G7"/>
    </row>
  </sheetData>
  <mergeCells count="1">
    <mergeCell ref="B3:G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rgb="FF00B050"/>
    <pageSetUpPr fitToPage="1"/>
  </sheetPr>
  <dimension ref="A2:M50"/>
  <sheetViews>
    <sheetView showGridLines="0" topLeftCell="A16" zoomScaleNormal="100" workbookViewId="0">
      <selection activeCell="I36" sqref="I36"/>
    </sheetView>
  </sheetViews>
  <sheetFormatPr defaultColWidth="20" defaultRowHeight="13.8" x14ac:dyDescent="0.25"/>
  <cols>
    <col min="1" max="1" width="14.88671875" style="1" customWidth="1"/>
    <col min="2" max="2" width="23.6640625" style="1" customWidth="1"/>
    <col min="3" max="3" width="15" style="1" customWidth="1"/>
    <col min="4" max="4" width="14.88671875" style="1" customWidth="1"/>
    <col min="5" max="5" width="11.88671875" style="1" customWidth="1"/>
    <col min="6" max="6" width="7.5546875" style="1" customWidth="1"/>
    <col min="7" max="7" width="30.6640625" style="1" customWidth="1"/>
    <col min="8" max="8" width="20" style="1" customWidth="1"/>
    <col min="9" max="9" width="19.33203125" style="1" customWidth="1"/>
    <col min="10" max="10" width="14.109375" style="1" customWidth="1"/>
    <col min="11" max="11" width="14.44140625" style="1" customWidth="1"/>
    <col min="12" max="12" width="14" style="1" customWidth="1"/>
    <col min="13" max="13" width="16" style="1" customWidth="1"/>
    <col min="14" max="14" width="18.6640625" style="1" customWidth="1"/>
    <col min="15" max="15" width="11" style="1" customWidth="1"/>
    <col min="16" max="16384" width="20" style="1"/>
  </cols>
  <sheetData>
    <row r="2" spans="1:12" x14ac:dyDescent="0.25">
      <c r="G2" s="104"/>
      <c r="H2" s="104"/>
      <c r="I2" s="104"/>
      <c r="J2" s="104"/>
    </row>
    <row r="3" spans="1:12" ht="17.399999999999999" x14ac:dyDescent="0.25">
      <c r="C3" s="297" t="s">
        <v>1</v>
      </c>
      <c r="D3" s="297"/>
      <c r="E3" s="297"/>
      <c r="G3" s="104"/>
      <c r="H3" s="104"/>
      <c r="I3" s="104"/>
      <c r="J3" s="104"/>
    </row>
    <row r="4" spans="1:12" x14ac:dyDescent="0.25">
      <c r="G4" s="104"/>
      <c r="H4" s="104"/>
      <c r="I4" s="104"/>
      <c r="J4" s="104"/>
    </row>
    <row r="6" spans="1:12" x14ac:dyDescent="0.25">
      <c r="K6" s="173"/>
      <c r="L6" s="174"/>
    </row>
    <row r="7" spans="1:12" ht="14.4" x14ac:dyDescent="0.3">
      <c r="B7" s="298" t="s">
        <v>2</v>
      </c>
      <c r="C7" s="299"/>
      <c r="D7" s="299"/>
      <c r="E7" s="300"/>
      <c r="G7" s="301" t="s">
        <v>3</v>
      </c>
      <c r="H7" s="302"/>
      <c r="I7" s="302"/>
      <c r="J7" s="302"/>
      <c r="K7" s="302"/>
      <c r="L7" s="302"/>
    </row>
    <row r="8" spans="1:12" s="249" customFormat="1" ht="28.8" x14ac:dyDescent="0.25">
      <c r="B8" s="35" t="s">
        <v>4</v>
      </c>
      <c r="C8" s="2" t="s">
        <v>5</v>
      </c>
      <c r="D8" s="205" t="s">
        <v>6</v>
      </c>
      <c r="E8" s="205" t="s">
        <v>7</v>
      </c>
      <c r="G8" s="241" t="s">
        <v>8</v>
      </c>
      <c r="H8" s="242" t="s">
        <v>9</v>
      </c>
      <c r="I8" s="243" t="s">
        <v>10</v>
      </c>
      <c r="J8" s="241" t="s">
        <v>8</v>
      </c>
      <c r="K8" s="242" t="s">
        <v>9</v>
      </c>
      <c r="L8" s="243" t="s">
        <v>11</v>
      </c>
    </row>
    <row r="9" spans="1:12" ht="14.4" x14ac:dyDescent="0.3">
      <c r="A9" s="121"/>
      <c r="B9" s="172">
        <v>43800</v>
      </c>
      <c r="C9" s="170">
        <v>5449.84</v>
      </c>
      <c r="D9" s="3">
        <v>5320.25</v>
      </c>
      <c r="E9" s="3">
        <v>759.11199999999997</v>
      </c>
      <c r="F9" s="4"/>
      <c r="G9" s="244">
        <v>43466</v>
      </c>
      <c r="H9" s="245">
        <v>10476110.59</v>
      </c>
      <c r="I9" s="245">
        <v>22711497</v>
      </c>
      <c r="J9" s="244">
        <f>EDATE(G20,1)</f>
        <v>43831</v>
      </c>
      <c r="K9" s="245">
        <v>11210106.59</v>
      </c>
      <c r="L9" s="245">
        <v>23425627</v>
      </c>
    </row>
    <row r="10" spans="1:12" ht="14.4" x14ac:dyDescent="0.3">
      <c r="B10" s="171">
        <f>+B9+31</f>
        <v>43831</v>
      </c>
      <c r="C10" s="3">
        <v>5460.19</v>
      </c>
      <c r="D10" s="3">
        <v>5331.42</v>
      </c>
      <c r="E10" s="3">
        <v>762.73299999999995</v>
      </c>
      <c r="F10" s="4"/>
      <c r="G10" s="244">
        <v>43497</v>
      </c>
      <c r="H10" s="245">
        <v>10966906.65</v>
      </c>
      <c r="I10" s="245">
        <v>23411605</v>
      </c>
      <c r="J10" s="244">
        <f t="shared" ref="J10:J20" si="0">EDATE(J9,1)</f>
        <v>43862</v>
      </c>
      <c r="K10" s="245">
        <v>11178058.51</v>
      </c>
      <c r="L10" s="245">
        <v>24087787</v>
      </c>
    </row>
    <row r="11" spans="1:12" ht="14.4" x14ac:dyDescent="0.3">
      <c r="B11" s="80">
        <f>+B10+31</f>
        <v>43862</v>
      </c>
      <c r="C11" s="3">
        <v>5469.47</v>
      </c>
      <c r="D11" s="3">
        <v>5344.75</v>
      </c>
      <c r="E11" s="3">
        <v>762.423</v>
      </c>
      <c r="F11" s="4"/>
      <c r="G11" s="244">
        <v>43525</v>
      </c>
      <c r="H11" s="245">
        <v>9889870.6699999999</v>
      </c>
      <c r="I11" s="245">
        <v>20807023</v>
      </c>
      <c r="J11" s="244">
        <f t="shared" si="0"/>
        <v>43891</v>
      </c>
      <c r="K11" s="245">
        <v>10389999.48</v>
      </c>
      <c r="L11" s="245">
        <v>22571126</v>
      </c>
    </row>
    <row r="12" spans="1:12" ht="14.4" x14ac:dyDescent="0.3">
      <c r="B12" s="80">
        <f t="shared" ref="B12:B21" si="1">+B11+31</f>
        <v>43893</v>
      </c>
      <c r="C12" s="3">
        <v>5479.32</v>
      </c>
      <c r="D12" s="3">
        <v>5348.49</v>
      </c>
      <c r="E12" s="3">
        <v>771.90800000000002</v>
      </c>
      <c r="F12" s="4"/>
      <c r="G12" s="244">
        <v>43556</v>
      </c>
      <c r="H12" s="245">
        <v>12070128.92</v>
      </c>
      <c r="I12" s="245">
        <v>23158646</v>
      </c>
      <c r="J12" s="244">
        <f t="shared" si="0"/>
        <v>43922</v>
      </c>
      <c r="K12" s="245">
        <v>11016193.699999999</v>
      </c>
      <c r="L12" s="245">
        <v>24236003</v>
      </c>
    </row>
    <row r="13" spans="1:12" ht="14.4" x14ac:dyDescent="0.3">
      <c r="B13" s="80">
        <f t="shared" si="1"/>
        <v>43924</v>
      </c>
      <c r="C13" s="3">
        <v>5466.72</v>
      </c>
      <c r="D13" s="3">
        <v>5331.91</v>
      </c>
      <c r="E13" s="3">
        <v>778.101</v>
      </c>
      <c r="F13" s="4"/>
      <c r="G13" s="244">
        <v>43586</v>
      </c>
      <c r="H13" s="245">
        <v>12041786.609999999</v>
      </c>
      <c r="I13" s="245">
        <v>22752326</v>
      </c>
      <c r="J13" s="244">
        <f t="shared" si="0"/>
        <v>43952</v>
      </c>
      <c r="K13" s="245">
        <v>10362289</v>
      </c>
      <c r="L13" s="245">
        <v>22781057</v>
      </c>
    </row>
    <row r="14" spans="1:12" ht="14.4" x14ac:dyDescent="0.3">
      <c r="B14" s="80">
        <f t="shared" si="1"/>
        <v>43955</v>
      </c>
      <c r="C14" s="3">
        <v>5453.05</v>
      </c>
      <c r="D14" s="3">
        <v>5311.65</v>
      </c>
      <c r="E14" s="3">
        <v>780.28</v>
      </c>
      <c r="F14" s="4"/>
      <c r="G14" s="244">
        <v>43617</v>
      </c>
      <c r="H14" s="245">
        <v>12188002.279999999</v>
      </c>
      <c r="I14" s="245">
        <v>23348287</v>
      </c>
      <c r="J14" s="244">
        <f t="shared" si="0"/>
        <v>43983</v>
      </c>
      <c r="K14" s="245">
        <v>10737691.119999999</v>
      </c>
      <c r="L14" s="245">
        <v>23629188</v>
      </c>
    </row>
    <row r="15" spans="1:12" ht="14.4" x14ac:dyDescent="0.3">
      <c r="B15" s="80">
        <f t="shared" si="1"/>
        <v>43986</v>
      </c>
      <c r="C15" s="3">
        <v>5469.41</v>
      </c>
      <c r="D15" s="3">
        <v>5325.46</v>
      </c>
      <c r="E15" s="3">
        <v>792.42899999999997</v>
      </c>
      <c r="F15" s="4"/>
      <c r="G15" s="244">
        <v>43647</v>
      </c>
      <c r="H15" s="245">
        <v>11667972.33</v>
      </c>
      <c r="I15" s="245">
        <v>22393589</v>
      </c>
      <c r="J15" s="244">
        <f t="shared" si="0"/>
        <v>44013</v>
      </c>
      <c r="K15" s="245">
        <v>10437042.68</v>
      </c>
      <c r="L15" s="245">
        <v>23147094</v>
      </c>
    </row>
    <row r="16" spans="1:12" ht="14.4" x14ac:dyDescent="0.3">
      <c r="B16" s="80">
        <f t="shared" si="1"/>
        <v>44017</v>
      </c>
      <c r="C16" s="3">
        <v>5493.48</v>
      </c>
      <c r="D16" s="3">
        <v>5344.63</v>
      </c>
      <c r="E16" s="3">
        <v>810.08299999999997</v>
      </c>
      <c r="F16" s="4"/>
      <c r="G16" s="244">
        <v>43678</v>
      </c>
      <c r="H16" s="245">
        <v>12970902.210000001</v>
      </c>
      <c r="I16" s="245">
        <v>22855373</v>
      </c>
      <c r="J16" s="244">
        <f t="shared" si="0"/>
        <v>44044</v>
      </c>
      <c r="K16" s="245">
        <v>10819442.18</v>
      </c>
      <c r="L16" s="245">
        <v>24058185</v>
      </c>
    </row>
    <row r="17" spans="2:13" ht="14.4" x14ac:dyDescent="0.3">
      <c r="B17" s="80">
        <f t="shared" si="1"/>
        <v>44048</v>
      </c>
      <c r="C17" s="3">
        <v>5513.26</v>
      </c>
      <c r="D17" s="3">
        <v>5357.46</v>
      </c>
      <c r="E17" s="3">
        <v>832.31299999999999</v>
      </c>
      <c r="F17" s="4"/>
      <c r="G17" s="244">
        <v>43709</v>
      </c>
      <c r="H17" s="245">
        <v>13582236.85</v>
      </c>
      <c r="I17" s="245">
        <v>24173524</v>
      </c>
      <c r="J17" s="244">
        <f t="shared" si="0"/>
        <v>44075</v>
      </c>
      <c r="K17" s="245">
        <v>11114946.539999999</v>
      </c>
      <c r="L17" s="245">
        <v>24798608</v>
      </c>
    </row>
    <row r="18" spans="2:13" ht="14.4" x14ac:dyDescent="0.3">
      <c r="B18" s="80">
        <f t="shared" si="1"/>
        <v>44079</v>
      </c>
      <c r="C18" s="3">
        <v>5561.23</v>
      </c>
      <c r="D18" s="3">
        <v>5391.75</v>
      </c>
      <c r="E18" s="3">
        <v>868.44200000000001</v>
      </c>
      <c r="F18" s="4"/>
      <c r="G18" s="244">
        <v>43739</v>
      </c>
      <c r="H18" s="245">
        <v>13023503.609999999</v>
      </c>
      <c r="I18" s="245">
        <v>23717621</v>
      </c>
      <c r="J18" s="244">
        <f t="shared" si="0"/>
        <v>44105</v>
      </c>
      <c r="K18" s="245">
        <v>11094302.01</v>
      </c>
      <c r="L18" s="245">
        <v>24873801</v>
      </c>
    </row>
    <row r="19" spans="2:13" ht="14.4" x14ac:dyDescent="0.3">
      <c r="B19" s="80">
        <f t="shared" si="1"/>
        <v>44110</v>
      </c>
      <c r="C19" s="3">
        <v>5610.72</v>
      </c>
      <c r="D19" s="3">
        <v>5438.12</v>
      </c>
      <c r="E19" s="3">
        <v>896.505</v>
      </c>
      <c r="F19" s="4"/>
      <c r="G19" s="244">
        <v>43770</v>
      </c>
      <c r="H19" s="245">
        <v>12303776.09</v>
      </c>
      <c r="I19" s="245">
        <v>24209600</v>
      </c>
      <c r="J19" s="244">
        <f t="shared" si="0"/>
        <v>44136</v>
      </c>
      <c r="K19" s="245">
        <v>10864819.530000001</v>
      </c>
      <c r="L19" s="245">
        <v>23841001</v>
      </c>
    </row>
    <row r="20" spans="2:13" ht="14.4" x14ac:dyDescent="0.3">
      <c r="B20" s="80">
        <f t="shared" si="1"/>
        <v>44141</v>
      </c>
      <c r="C20" s="3">
        <v>5664.02</v>
      </c>
      <c r="D20" s="3">
        <v>5486.52</v>
      </c>
      <c r="E20" s="3">
        <v>925.88699999999994</v>
      </c>
      <c r="F20" s="4"/>
      <c r="G20" s="244">
        <v>43800</v>
      </c>
      <c r="H20" s="245">
        <v>11336323.619999999</v>
      </c>
      <c r="I20" s="245">
        <v>22437102</v>
      </c>
      <c r="J20" s="244">
        <f t="shared" si="0"/>
        <v>44166</v>
      </c>
      <c r="K20" s="245">
        <v>11365998.400000004</v>
      </c>
      <c r="L20" s="245">
        <v>23085785</v>
      </c>
    </row>
    <row r="21" spans="2:13" ht="14.4" x14ac:dyDescent="0.25">
      <c r="B21" s="80">
        <f t="shared" si="1"/>
        <v>44172</v>
      </c>
      <c r="C21" s="3">
        <v>5746.71</v>
      </c>
      <c r="D21" s="3">
        <v>5560.59</v>
      </c>
      <c r="E21" s="3">
        <v>934.75800000000004</v>
      </c>
      <c r="F21" s="4"/>
      <c r="G21" s="246" t="s">
        <v>12</v>
      </c>
      <c r="H21" s="247">
        <f>SUM(H9:H20)</f>
        <v>142517520.42999998</v>
      </c>
      <c r="I21" s="247">
        <f>SUM(I9:I20)</f>
        <v>275976193</v>
      </c>
      <c r="J21" s="246" t="s">
        <v>12</v>
      </c>
      <c r="K21" s="247">
        <f>SUM(K9:K20)</f>
        <v>130590889.73999999</v>
      </c>
      <c r="L21" s="247">
        <f>SUM(L9:L20)</f>
        <v>284535262</v>
      </c>
    </row>
    <row r="22" spans="2:13" ht="17.100000000000001" customHeight="1" x14ac:dyDescent="0.25">
      <c r="B22" s="97" t="s">
        <v>13</v>
      </c>
      <c r="C22" s="5">
        <f>C21/C9-1</f>
        <v>5.4473158845030234E-2</v>
      </c>
      <c r="D22" s="5">
        <f>D21/D9-1</f>
        <v>4.517456886424509E-2</v>
      </c>
      <c r="E22" s="5">
        <f>E21/E9-1</f>
        <v>0.23138351126052559</v>
      </c>
      <c r="F22" s="6"/>
      <c r="G22" s="248" t="s">
        <v>14</v>
      </c>
      <c r="L22" s="13"/>
      <c r="M22" s="13"/>
    </row>
    <row r="23" spans="2:13" x14ac:dyDescent="0.25">
      <c r="B23" s="7" t="s">
        <v>15</v>
      </c>
      <c r="G23" s="248" t="s">
        <v>16</v>
      </c>
    </row>
    <row r="24" spans="2:13" x14ac:dyDescent="0.25">
      <c r="B24" s="121"/>
      <c r="G24" s="306" t="s">
        <v>17</v>
      </c>
      <c r="H24" s="306"/>
      <c r="I24" s="306"/>
      <c r="J24" s="306"/>
      <c r="K24" s="306"/>
      <c r="L24" s="306"/>
    </row>
    <row r="25" spans="2:13" x14ac:dyDescent="0.25">
      <c r="B25" s="121"/>
      <c r="G25" s="306"/>
      <c r="H25" s="306"/>
      <c r="I25" s="306"/>
      <c r="J25" s="306"/>
      <c r="K25" s="306"/>
      <c r="L25" s="306"/>
    </row>
    <row r="26" spans="2:13" x14ac:dyDescent="0.25">
      <c r="B26" s="121"/>
      <c r="G26" s="7" t="s">
        <v>18</v>
      </c>
    </row>
    <row r="27" spans="2:13" x14ac:dyDescent="0.25">
      <c r="B27" s="118"/>
      <c r="G27" s="7"/>
    </row>
    <row r="28" spans="2:13" ht="14.4" x14ac:dyDescent="0.3">
      <c r="B28" s="118"/>
      <c r="G28" s="303" t="s">
        <v>19</v>
      </c>
      <c r="H28" s="304"/>
      <c r="I28" s="304"/>
      <c r="J28" s="305"/>
      <c r="M28" s="13"/>
    </row>
    <row r="29" spans="2:13" ht="18.75" customHeight="1" x14ac:dyDescent="0.25">
      <c r="G29" s="289" t="s">
        <v>20</v>
      </c>
      <c r="H29" s="250" t="s">
        <v>21</v>
      </c>
      <c r="I29" s="251" t="s">
        <v>22</v>
      </c>
      <c r="J29" s="286" t="s">
        <v>23</v>
      </c>
      <c r="K29" s="6"/>
      <c r="L29" s="13"/>
      <c r="M29" s="4"/>
    </row>
    <row r="30" spans="2:13" ht="14.4" x14ac:dyDescent="0.25">
      <c r="G30" s="226" t="s">
        <v>24</v>
      </c>
      <c r="H30" s="252">
        <f>+Indices_2021!K21</f>
        <v>130590889.73999999</v>
      </c>
      <c r="I30" s="253">
        <f>+Indices_2021!L21</f>
        <v>284535262</v>
      </c>
      <c r="J30" s="254">
        <f>H30/I30</f>
        <v>0.45896205912081295</v>
      </c>
      <c r="K30" s="6"/>
    </row>
    <row r="31" spans="2:13" ht="14.4" x14ac:dyDescent="0.3">
      <c r="G31" s="255" t="s">
        <v>25</v>
      </c>
      <c r="H31" s="256">
        <f>+Indices_2021!H21</f>
        <v>142517520.42999998</v>
      </c>
      <c r="I31" s="257">
        <f>+Indices_2021!I21</f>
        <v>275976193</v>
      </c>
      <c r="J31" s="258">
        <f>H31/I31</f>
        <v>0.51641237195412715</v>
      </c>
      <c r="K31" s="132"/>
      <c r="L31" s="132"/>
    </row>
    <row r="32" spans="2:13" ht="14.4" x14ac:dyDescent="0.3">
      <c r="G32" s="294" t="s">
        <v>26</v>
      </c>
      <c r="H32" s="295"/>
      <c r="I32" s="296"/>
      <c r="J32" s="259">
        <f>J30/J31-1</f>
        <v>-0.11124890872757309</v>
      </c>
      <c r="K32" s="98"/>
    </row>
    <row r="34" spans="7:8" ht="14.4" x14ac:dyDescent="0.3">
      <c r="G34" s="134"/>
      <c r="H34" s="135"/>
    </row>
    <row r="35" spans="7:8" x14ac:dyDescent="0.25">
      <c r="G35" s="136"/>
      <c r="H35" s="134"/>
    </row>
    <row r="36" spans="7:8" ht="14.4" x14ac:dyDescent="0.3">
      <c r="G36" s="137"/>
      <c r="H36" s="135"/>
    </row>
    <row r="37" spans="7:8" x14ac:dyDescent="0.25">
      <c r="G37" s="136"/>
      <c r="H37" s="137"/>
    </row>
    <row r="38" spans="7:8" x14ac:dyDescent="0.25">
      <c r="G38" s="136"/>
      <c r="H38" s="137"/>
    </row>
    <row r="39" spans="7:8" x14ac:dyDescent="0.25">
      <c r="G39" s="136"/>
      <c r="H39" s="137"/>
    </row>
    <row r="40" spans="7:8" x14ac:dyDescent="0.25">
      <c r="G40" s="136"/>
      <c r="H40" s="137"/>
    </row>
    <row r="41" spans="7:8" x14ac:dyDescent="0.25">
      <c r="G41" s="136"/>
      <c r="H41" s="137"/>
    </row>
    <row r="42" spans="7:8" x14ac:dyDescent="0.25">
      <c r="G42" s="136"/>
      <c r="H42" s="137"/>
    </row>
    <row r="43" spans="7:8" x14ac:dyDescent="0.25">
      <c r="G43" s="136"/>
      <c r="H43" s="137"/>
    </row>
    <row r="44" spans="7:8" x14ac:dyDescent="0.25">
      <c r="G44" s="136"/>
      <c r="H44" s="137"/>
    </row>
    <row r="45" spans="7:8" x14ac:dyDescent="0.25">
      <c r="G45" s="136"/>
      <c r="H45" s="137"/>
    </row>
    <row r="46" spans="7:8" x14ac:dyDescent="0.25">
      <c r="G46" s="136"/>
      <c r="H46" s="137"/>
    </row>
    <row r="47" spans="7:8" x14ac:dyDescent="0.25">
      <c r="G47" s="136"/>
      <c r="H47" s="137"/>
    </row>
    <row r="48" spans="7:8" x14ac:dyDescent="0.25">
      <c r="G48" s="136"/>
      <c r="H48" s="137"/>
    </row>
    <row r="49" spans="7:8" x14ac:dyDescent="0.25">
      <c r="G49" s="136"/>
      <c r="H49" s="137"/>
    </row>
    <row r="50" spans="7:8" ht="14.4" x14ac:dyDescent="0.3">
      <c r="G50"/>
      <c r="H50"/>
    </row>
  </sheetData>
  <mergeCells count="6">
    <mergeCell ref="G32:I32"/>
    <mergeCell ref="C3:E3"/>
    <mergeCell ref="B7:E7"/>
    <mergeCell ref="G7:L7"/>
    <mergeCell ref="G28:J28"/>
    <mergeCell ref="G24:L25"/>
  </mergeCells>
  <pageMargins left="0.511811024" right="0.511811024" top="0.78740157499999996" bottom="0.78740157499999996" header="0.31496062000000002" footer="0.31496062000000002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rgb="FF00B050"/>
    <pageSetUpPr fitToPage="1"/>
  </sheetPr>
  <dimension ref="B4:S119"/>
  <sheetViews>
    <sheetView showGridLines="0" zoomScaleNormal="100" workbookViewId="0">
      <selection activeCell="L12" sqref="L12"/>
    </sheetView>
  </sheetViews>
  <sheetFormatPr defaultColWidth="8.88671875" defaultRowHeight="13.8" x14ac:dyDescent="0.25"/>
  <cols>
    <col min="1" max="1" width="3.109375" style="1" customWidth="1"/>
    <col min="2" max="2" width="19.33203125" style="1" customWidth="1"/>
    <col min="3" max="3" width="14.109375" style="1" customWidth="1"/>
    <col min="4" max="4" width="12.109375" style="1" bestFit="1" customWidth="1"/>
    <col min="5" max="5" width="12.5546875" style="1" customWidth="1"/>
    <col min="6" max="6" width="12" style="1" bestFit="1" customWidth="1"/>
    <col min="7" max="7" width="12.33203125" style="1" customWidth="1"/>
    <col min="8" max="8" width="13.5546875" style="1" customWidth="1"/>
    <col min="9" max="9" width="12" style="1" customWidth="1"/>
    <col min="10" max="10" width="12.109375" style="1" bestFit="1" customWidth="1"/>
    <col min="11" max="11" width="12" style="1" customWidth="1"/>
    <col min="12" max="13" width="12.109375" style="1" bestFit="1" customWidth="1"/>
    <col min="14" max="14" width="12" style="1" bestFit="1" customWidth="1"/>
    <col min="15" max="15" width="12" style="1" customWidth="1"/>
    <col min="16" max="16" width="12.6640625" style="1" customWidth="1"/>
    <col min="17" max="17" width="13.5546875" style="1" customWidth="1"/>
    <col min="18" max="18" width="12.6640625" style="1" bestFit="1" customWidth="1"/>
    <col min="19" max="16384" width="8.88671875" style="1"/>
  </cols>
  <sheetData>
    <row r="4" spans="2:16" ht="17.399999999999999" x14ac:dyDescent="0.25">
      <c r="F4" s="15" t="s">
        <v>27</v>
      </c>
    </row>
    <row r="8" spans="2:16" ht="16.2" x14ac:dyDescent="0.25">
      <c r="B8" s="308" t="s">
        <v>28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</row>
    <row r="9" spans="2:16" x14ac:dyDescent="0.25">
      <c r="B9" s="309"/>
      <c r="C9" s="310"/>
      <c r="D9" s="16">
        <v>43831</v>
      </c>
      <c r="E9" s="16">
        <f>+D9+31</f>
        <v>43862</v>
      </c>
      <c r="F9" s="16">
        <f t="shared" ref="F9:O9" si="0">+E9+31</f>
        <v>43893</v>
      </c>
      <c r="G9" s="16">
        <f t="shared" si="0"/>
        <v>43924</v>
      </c>
      <c r="H9" s="16">
        <f t="shared" si="0"/>
        <v>43955</v>
      </c>
      <c r="I9" s="16">
        <f t="shared" si="0"/>
        <v>43986</v>
      </c>
      <c r="J9" s="16">
        <f t="shared" si="0"/>
        <v>44017</v>
      </c>
      <c r="K9" s="16">
        <f t="shared" si="0"/>
        <v>44048</v>
      </c>
      <c r="L9" s="16">
        <f t="shared" si="0"/>
        <v>44079</v>
      </c>
      <c r="M9" s="16">
        <f t="shared" si="0"/>
        <v>44110</v>
      </c>
      <c r="N9" s="16">
        <f t="shared" si="0"/>
        <v>44141</v>
      </c>
      <c r="O9" s="16">
        <f t="shared" si="0"/>
        <v>44172</v>
      </c>
      <c r="P9" s="9" t="s">
        <v>29</v>
      </c>
    </row>
    <row r="10" spans="2:16" x14ac:dyDescent="0.25">
      <c r="B10" s="311" t="s">
        <v>30</v>
      </c>
      <c r="C10" s="312"/>
      <c r="D10" s="71">
        <f>'CF 2021'!N8</f>
        <v>20769120</v>
      </c>
      <c r="E10" s="71">
        <f>'CF 2021'!O8</f>
        <v>19551398</v>
      </c>
      <c r="F10" s="71">
        <f>'CF 2021'!P8</f>
        <v>21014761</v>
      </c>
      <c r="G10" s="71">
        <f>'CF 2021'!Q8</f>
        <v>19970175</v>
      </c>
      <c r="H10" s="71">
        <f>'CF 2021'!R8</f>
        <v>20833763</v>
      </c>
      <c r="I10" s="71">
        <f>'CF 2021'!S8</f>
        <v>20464034</v>
      </c>
      <c r="J10" s="71">
        <f>'CF 2021'!T8</f>
        <v>21394985</v>
      </c>
      <c r="K10" s="71">
        <f>'CF 2021'!U8</f>
        <v>21721993</v>
      </c>
      <c r="L10" s="71">
        <f>'CF 2021'!V8</f>
        <v>21697413</v>
      </c>
      <c r="M10" s="71">
        <f>'CF 2021'!W8</f>
        <v>22408351</v>
      </c>
      <c r="N10" s="71">
        <f>'CF 2021'!X8</f>
        <v>20317685</v>
      </c>
      <c r="O10" s="71">
        <f>'CF 2021'!Y8</f>
        <v>21561021</v>
      </c>
      <c r="P10" s="17">
        <f>SUM(D10:O10)</f>
        <v>251704699</v>
      </c>
    </row>
    <row r="11" spans="2:16" x14ac:dyDescent="0.25">
      <c r="B11" s="311" t="s">
        <v>31</v>
      </c>
      <c r="C11" s="312"/>
      <c r="D11" s="71">
        <f>'CF 2021'!N9</f>
        <v>12731821</v>
      </c>
      <c r="E11" s="71">
        <f>'CF 2021'!O9</f>
        <v>12302868</v>
      </c>
      <c r="F11" s="71">
        <f>'CF 2021'!P9</f>
        <v>13741504</v>
      </c>
      <c r="G11" s="71">
        <f>'CF 2021'!Q9</f>
        <v>12389385</v>
      </c>
      <c r="H11" s="71">
        <f>'CF 2021'!R9</f>
        <v>11499499</v>
      </c>
      <c r="I11" s="71">
        <f>'CF 2021'!S9</f>
        <v>10745762</v>
      </c>
      <c r="J11" s="71">
        <f>'CF 2021'!T9</f>
        <v>10859147</v>
      </c>
      <c r="K11" s="71">
        <f>'CF 2021'!U9</f>
        <v>10598607</v>
      </c>
      <c r="L11" s="71">
        <f>'CF 2021'!V9</f>
        <v>10099065</v>
      </c>
      <c r="M11" s="71">
        <f>'CF 2021'!W9</f>
        <v>11581715</v>
      </c>
      <c r="N11" s="71">
        <f>'CF 2021'!X9</f>
        <v>11602541</v>
      </c>
      <c r="O11" s="71">
        <f>'CF 2021'!Y9</f>
        <v>12058129</v>
      </c>
      <c r="P11" s="17">
        <f>SUM(D11:O11)</f>
        <v>140210043</v>
      </c>
    </row>
    <row r="12" spans="2:16" x14ac:dyDescent="0.25">
      <c r="B12" s="313" t="s">
        <v>32</v>
      </c>
      <c r="C12" s="314"/>
      <c r="D12" s="18">
        <f t="shared" ref="D12:O12" si="1">SUM(D10:D11)</f>
        <v>33500941</v>
      </c>
      <c r="E12" s="19">
        <f t="shared" si="1"/>
        <v>31854266</v>
      </c>
      <c r="F12" s="19">
        <f t="shared" si="1"/>
        <v>34756265</v>
      </c>
      <c r="G12" s="19">
        <f t="shared" si="1"/>
        <v>32359560</v>
      </c>
      <c r="H12" s="19">
        <f t="shared" si="1"/>
        <v>32333262</v>
      </c>
      <c r="I12" s="19">
        <f t="shared" si="1"/>
        <v>31209796</v>
      </c>
      <c r="J12" s="19">
        <f t="shared" si="1"/>
        <v>32254132</v>
      </c>
      <c r="K12" s="19">
        <f t="shared" si="1"/>
        <v>32320600</v>
      </c>
      <c r="L12" s="19">
        <f t="shared" si="1"/>
        <v>31796478</v>
      </c>
      <c r="M12" s="19">
        <f t="shared" si="1"/>
        <v>33990066</v>
      </c>
      <c r="N12" s="19">
        <f t="shared" si="1"/>
        <v>31920226</v>
      </c>
      <c r="O12" s="116">
        <f t="shared" si="1"/>
        <v>33619150</v>
      </c>
      <c r="P12" s="116">
        <f>SUM(P10:P11)</f>
        <v>391914742</v>
      </c>
    </row>
    <row r="13" spans="2:16" x14ac:dyDescent="0.25">
      <c r="B13" s="87" t="s">
        <v>18</v>
      </c>
      <c r="C13" s="20"/>
      <c r="D13" s="20"/>
      <c r="F13" s="20"/>
      <c r="G13" s="20"/>
      <c r="H13" s="20"/>
      <c r="I13" s="20"/>
      <c r="J13" s="20"/>
      <c r="K13" s="21"/>
      <c r="O13" s="117"/>
      <c r="P13" s="118"/>
    </row>
    <row r="14" spans="2:16" x14ac:dyDescent="0.25">
      <c r="O14" s="119"/>
      <c r="P14" s="119"/>
    </row>
    <row r="15" spans="2:16" x14ac:dyDescent="0.25">
      <c r="O15" s="120"/>
      <c r="P15" s="118"/>
    </row>
    <row r="16" spans="2:16" x14ac:dyDescent="0.25">
      <c r="O16" s="118"/>
      <c r="P16" s="118"/>
    </row>
    <row r="17" spans="2:18" ht="17.399999999999999" x14ac:dyDescent="0.25">
      <c r="F17" s="15" t="s">
        <v>33</v>
      </c>
    </row>
    <row r="20" spans="2:18" x14ac:dyDescent="0.25">
      <c r="B20" s="20"/>
      <c r="C20" s="20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</row>
    <row r="21" spans="2:18" ht="16.2" x14ac:dyDescent="0.25">
      <c r="B21" s="298" t="s">
        <v>34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</row>
    <row r="22" spans="2:18" x14ac:dyDescent="0.25">
      <c r="B22" s="8" t="s">
        <v>35</v>
      </c>
      <c r="C22" s="8" t="s">
        <v>36</v>
      </c>
      <c r="D22" s="9">
        <f>+D9</f>
        <v>43831</v>
      </c>
      <c r="E22" s="9">
        <f t="shared" ref="E22:G22" si="2">+E9</f>
        <v>43862</v>
      </c>
      <c r="F22" s="9">
        <f t="shared" si="2"/>
        <v>43893</v>
      </c>
      <c r="G22" s="9">
        <f t="shared" si="2"/>
        <v>43924</v>
      </c>
      <c r="H22" s="8" t="s">
        <v>36</v>
      </c>
      <c r="I22" s="9">
        <f t="shared" ref="I22:P22" si="3">+H9</f>
        <v>43955</v>
      </c>
      <c r="J22" s="9">
        <f t="shared" si="3"/>
        <v>43986</v>
      </c>
      <c r="K22" s="9">
        <f t="shared" si="3"/>
        <v>44017</v>
      </c>
      <c r="L22" s="9">
        <f t="shared" si="3"/>
        <v>44048</v>
      </c>
      <c r="M22" s="9">
        <f t="shared" si="3"/>
        <v>44079</v>
      </c>
      <c r="N22" s="9">
        <f t="shared" si="3"/>
        <v>44110</v>
      </c>
      <c r="O22" s="9">
        <f t="shared" si="3"/>
        <v>44141</v>
      </c>
      <c r="P22" s="9">
        <f t="shared" si="3"/>
        <v>44172</v>
      </c>
      <c r="Q22" s="91" t="s">
        <v>37</v>
      </c>
      <c r="R22" s="91" t="s">
        <v>38</v>
      </c>
    </row>
    <row r="23" spans="2:18" x14ac:dyDescent="0.25">
      <c r="B23" s="315" t="s">
        <v>39</v>
      </c>
      <c r="C23" s="10" t="s">
        <v>40</v>
      </c>
      <c r="D23" s="89">
        <v>5675711</v>
      </c>
      <c r="E23" s="89">
        <v>5921197</v>
      </c>
      <c r="F23" s="89">
        <v>5636396</v>
      </c>
      <c r="G23" s="89">
        <v>5061010</v>
      </c>
      <c r="H23" s="10" t="s">
        <v>41</v>
      </c>
      <c r="I23" s="89">
        <v>5472029</v>
      </c>
      <c r="J23" s="89">
        <v>1410414</v>
      </c>
      <c r="K23" s="89">
        <v>1376195</v>
      </c>
      <c r="L23" s="89">
        <v>1339035</v>
      </c>
      <c r="M23" s="89">
        <v>1326695</v>
      </c>
      <c r="N23" s="89">
        <v>1298994</v>
      </c>
      <c r="O23" s="89">
        <v>1515076</v>
      </c>
      <c r="P23" s="89">
        <v>1446546</v>
      </c>
      <c r="Q23" s="92">
        <f>SUM(D23:G23)</f>
        <v>22294314</v>
      </c>
      <c r="R23" s="92">
        <f>SUM(I23:P23)</f>
        <v>15184984</v>
      </c>
    </row>
    <row r="24" spans="2:18" x14ac:dyDescent="0.25">
      <c r="B24" s="315"/>
      <c r="C24" s="10" t="s">
        <v>42</v>
      </c>
      <c r="D24" s="89">
        <v>3166714</v>
      </c>
      <c r="E24" s="89">
        <v>3085196</v>
      </c>
      <c r="F24" s="89">
        <v>3168636</v>
      </c>
      <c r="G24" s="89">
        <v>3429758</v>
      </c>
      <c r="H24" s="10" t="s">
        <v>43</v>
      </c>
      <c r="I24" s="89">
        <v>3262088</v>
      </c>
      <c r="J24" s="89">
        <v>4012885</v>
      </c>
      <c r="K24" s="89">
        <v>4013809</v>
      </c>
      <c r="L24" s="89">
        <v>3989176</v>
      </c>
      <c r="M24" s="89">
        <v>3968996</v>
      </c>
      <c r="N24" s="89">
        <v>3967619</v>
      </c>
      <c r="O24" s="89">
        <v>3985408</v>
      </c>
      <c r="P24" s="89">
        <v>4020913</v>
      </c>
      <c r="Q24" s="92">
        <f t="shared" ref="Q24:Q30" si="4">SUM(D24:G24)</f>
        <v>12850304</v>
      </c>
      <c r="R24" s="92">
        <f t="shared" ref="R24:R28" si="5">SUM(I24:P24)</f>
        <v>31220894</v>
      </c>
    </row>
    <row r="25" spans="2:18" x14ac:dyDescent="0.25">
      <c r="B25" s="315"/>
      <c r="C25" s="10" t="s">
        <v>44</v>
      </c>
      <c r="D25" s="89">
        <v>2750823</v>
      </c>
      <c r="E25" s="89">
        <v>2506178</v>
      </c>
      <c r="F25" s="89">
        <v>2829230</v>
      </c>
      <c r="G25" s="89">
        <v>3422917</v>
      </c>
      <c r="H25" s="10" t="s">
        <v>45</v>
      </c>
      <c r="I25" s="89">
        <v>3022304</v>
      </c>
      <c r="J25" s="89">
        <v>2902262</v>
      </c>
      <c r="K25" s="89">
        <v>3022369</v>
      </c>
      <c r="L25" s="89">
        <v>3129115</v>
      </c>
      <c r="M25" s="89">
        <v>3194874</v>
      </c>
      <c r="N25" s="89">
        <v>3403956</v>
      </c>
      <c r="O25" s="89">
        <v>2949970</v>
      </c>
      <c r="P25" s="89">
        <v>3039379</v>
      </c>
      <c r="Q25" s="92">
        <f t="shared" si="4"/>
        <v>11509148</v>
      </c>
      <c r="R25" s="92">
        <f t="shared" si="5"/>
        <v>24664229</v>
      </c>
    </row>
    <row r="26" spans="2:18" x14ac:dyDescent="0.25">
      <c r="B26" s="315"/>
      <c r="C26" s="10" t="s">
        <v>46</v>
      </c>
      <c r="D26" s="89">
        <v>687731</v>
      </c>
      <c r="E26" s="89">
        <v>565246</v>
      </c>
      <c r="F26" s="89">
        <v>667842</v>
      </c>
      <c r="G26" s="89">
        <v>877580</v>
      </c>
      <c r="H26" s="10" t="s">
        <v>47</v>
      </c>
      <c r="I26" s="89">
        <v>737713</v>
      </c>
      <c r="J26" s="89">
        <v>1391477</v>
      </c>
      <c r="K26" s="89">
        <v>1552602</v>
      </c>
      <c r="L26" s="89">
        <v>1682750</v>
      </c>
      <c r="M26" s="89">
        <v>1757482</v>
      </c>
      <c r="N26" s="89">
        <v>1823377</v>
      </c>
      <c r="O26" s="89">
        <v>1418683</v>
      </c>
      <c r="P26" s="89">
        <v>1539631</v>
      </c>
      <c r="Q26" s="92">
        <f t="shared" si="4"/>
        <v>2798399</v>
      </c>
      <c r="R26" s="92">
        <f t="shared" si="5"/>
        <v>11903715</v>
      </c>
    </row>
    <row r="27" spans="2:18" x14ac:dyDescent="0.25">
      <c r="B27" s="315"/>
      <c r="C27" s="10" t="s">
        <v>48</v>
      </c>
      <c r="D27" s="89">
        <v>329446</v>
      </c>
      <c r="E27" s="89">
        <v>260206</v>
      </c>
      <c r="F27" s="89">
        <v>305440</v>
      </c>
      <c r="G27" s="89">
        <v>360176</v>
      </c>
      <c r="H27" s="142" t="s">
        <v>49</v>
      </c>
      <c r="I27" s="143">
        <v>340491</v>
      </c>
      <c r="J27" s="143">
        <v>572284</v>
      </c>
      <c r="K27" s="143">
        <v>648175</v>
      </c>
      <c r="L27" s="143">
        <v>710829</v>
      </c>
      <c r="M27" s="143">
        <v>753068</v>
      </c>
      <c r="N27" s="143">
        <v>758043</v>
      </c>
      <c r="O27" s="143">
        <v>499773</v>
      </c>
      <c r="P27" s="143">
        <v>580701</v>
      </c>
      <c r="Q27" s="92">
        <f t="shared" si="4"/>
        <v>1255268</v>
      </c>
      <c r="R27" s="92">
        <f t="shared" si="5"/>
        <v>4863364</v>
      </c>
    </row>
    <row r="28" spans="2:18" x14ac:dyDescent="0.25">
      <c r="B28" s="315"/>
      <c r="C28" s="10" t="s">
        <v>50</v>
      </c>
      <c r="D28" s="89">
        <v>133059</v>
      </c>
      <c r="E28" s="89">
        <v>109636</v>
      </c>
      <c r="F28" s="89">
        <v>129148</v>
      </c>
      <c r="G28" s="147">
        <v>151917</v>
      </c>
      <c r="H28" s="148" t="s">
        <v>51</v>
      </c>
      <c r="I28" s="146">
        <v>145808</v>
      </c>
      <c r="J28" s="146">
        <v>518868</v>
      </c>
      <c r="K28" s="146">
        <v>568395</v>
      </c>
      <c r="L28" s="146">
        <v>618908</v>
      </c>
      <c r="M28" s="146">
        <v>665024</v>
      </c>
      <c r="N28" s="146">
        <v>580755</v>
      </c>
      <c r="O28" s="146">
        <v>376326</v>
      </c>
      <c r="P28" s="146">
        <v>464538</v>
      </c>
      <c r="Q28" s="92">
        <f t="shared" si="4"/>
        <v>523760</v>
      </c>
      <c r="R28" s="92">
        <f t="shared" si="5"/>
        <v>3938622</v>
      </c>
    </row>
    <row r="29" spans="2:18" x14ac:dyDescent="0.25">
      <c r="B29" s="315"/>
      <c r="C29" s="10" t="s">
        <v>52</v>
      </c>
      <c r="D29" s="89">
        <v>70197</v>
      </c>
      <c r="E29" s="89">
        <v>58711</v>
      </c>
      <c r="F29" s="141">
        <v>63537</v>
      </c>
      <c r="G29" s="146">
        <v>73009</v>
      </c>
      <c r="H29" s="144"/>
      <c r="I29" s="149"/>
      <c r="J29" s="151"/>
      <c r="K29" s="151"/>
      <c r="L29" s="151"/>
      <c r="M29" s="151"/>
      <c r="N29" s="151"/>
      <c r="O29" s="151"/>
      <c r="P29" s="151"/>
      <c r="Q29" s="92">
        <f t="shared" si="4"/>
        <v>265454</v>
      </c>
      <c r="R29" s="151"/>
    </row>
    <row r="30" spans="2:18" x14ac:dyDescent="0.25">
      <c r="B30" s="315"/>
      <c r="C30" s="10" t="s">
        <v>53</v>
      </c>
      <c r="D30" s="89">
        <v>153626</v>
      </c>
      <c r="E30" s="89">
        <v>149305</v>
      </c>
      <c r="F30" s="141">
        <v>172091</v>
      </c>
      <c r="G30" s="146">
        <v>158550</v>
      </c>
      <c r="H30" s="144"/>
      <c r="I30" s="150"/>
      <c r="J30" s="151"/>
      <c r="K30" s="151"/>
      <c r="L30" s="151"/>
      <c r="M30" s="151"/>
      <c r="N30" s="151"/>
      <c r="O30" s="151"/>
      <c r="P30" s="151"/>
      <c r="Q30" s="92">
        <f t="shared" si="4"/>
        <v>633572</v>
      </c>
      <c r="R30" s="151"/>
    </row>
    <row r="31" spans="2:18" x14ac:dyDescent="0.25">
      <c r="B31" s="307" t="s">
        <v>54</v>
      </c>
      <c r="C31" s="307"/>
      <c r="D31" s="11">
        <f t="shared" ref="D31" si="6" xml:space="preserve"> SUM(D23:D30)</f>
        <v>12967307</v>
      </c>
      <c r="E31" s="11">
        <f t="shared" ref="E31:G31" si="7" xml:space="preserve"> SUM(E23:E30)</f>
        <v>12655675</v>
      </c>
      <c r="F31" s="90">
        <f t="shared" si="7"/>
        <v>12972320</v>
      </c>
      <c r="G31" s="93">
        <f t="shared" si="7"/>
        <v>13534917</v>
      </c>
      <c r="H31" s="8" t="s">
        <v>36</v>
      </c>
      <c r="I31" s="93">
        <f t="shared" ref="I31:P31" si="8" xml:space="preserve"> SUM(I23:I30)</f>
        <v>12980433</v>
      </c>
      <c r="J31" s="93">
        <f t="shared" si="8"/>
        <v>10808190</v>
      </c>
      <c r="K31" s="93">
        <f t="shared" si="8"/>
        <v>11181545</v>
      </c>
      <c r="L31" s="93">
        <f t="shared" si="8"/>
        <v>11469813</v>
      </c>
      <c r="M31" s="93">
        <f t="shared" si="8"/>
        <v>11666139</v>
      </c>
      <c r="N31" s="93">
        <f t="shared" si="8"/>
        <v>11832744</v>
      </c>
      <c r="O31" s="93">
        <f t="shared" si="8"/>
        <v>10745236</v>
      </c>
      <c r="P31" s="93">
        <f t="shared" si="8"/>
        <v>11091708</v>
      </c>
      <c r="Q31" s="93">
        <f>SUM(Q23:Q30)</f>
        <v>52130219</v>
      </c>
      <c r="R31" s="93">
        <f>SUM(R23:R30)</f>
        <v>91775808</v>
      </c>
    </row>
    <row r="32" spans="2:18" x14ac:dyDescent="0.25">
      <c r="B32" s="315" t="s">
        <v>55</v>
      </c>
      <c r="C32" s="10" t="s">
        <v>56</v>
      </c>
      <c r="D32" s="89">
        <v>26990</v>
      </c>
      <c r="E32" s="89">
        <v>27190</v>
      </c>
      <c r="F32" s="89">
        <v>26840</v>
      </c>
      <c r="G32" s="145">
        <v>26810</v>
      </c>
      <c r="H32" s="10" t="s">
        <v>41</v>
      </c>
      <c r="I32" s="145">
        <v>26870</v>
      </c>
      <c r="J32" s="145">
        <v>38894</v>
      </c>
      <c r="K32" s="145">
        <v>36887</v>
      </c>
      <c r="L32" s="145">
        <v>35140</v>
      </c>
      <c r="M32" s="145">
        <v>30187</v>
      </c>
      <c r="N32" s="145">
        <v>25896</v>
      </c>
      <c r="O32" s="145">
        <v>32863</v>
      </c>
      <c r="P32" s="145">
        <v>27132</v>
      </c>
      <c r="Q32" s="92">
        <f>SUM(D32:G32)</f>
        <v>107830</v>
      </c>
      <c r="R32" s="92">
        <f>SUM(I32:P32)</f>
        <v>253869</v>
      </c>
    </row>
    <row r="33" spans="2:18" x14ac:dyDescent="0.25">
      <c r="B33" s="315"/>
      <c r="C33" s="10" t="s">
        <v>57</v>
      </c>
      <c r="D33" s="89">
        <v>1018</v>
      </c>
      <c r="E33" s="89">
        <v>1069</v>
      </c>
      <c r="F33" s="89">
        <v>1100</v>
      </c>
      <c r="G33" s="89">
        <v>1206</v>
      </c>
      <c r="H33" s="10" t="s">
        <v>43</v>
      </c>
      <c r="I33" s="89">
        <v>1151</v>
      </c>
      <c r="J33" s="89">
        <v>95580</v>
      </c>
      <c r="K33" s="89">
        <v>95518</v>
      </c>
      <c r="L33" s="89">
        <v>99831</v>
      </c>
      <c r="M33" s="89">
        <v>97536</v>
      </c>
      <c r="N33" s="89">
        <v>79522</v>
      </c>
      <c r="O33" s="89">
        <v>76761</v>
      </c>
      <c r="P33" s="89">
        <v>80107</v>
      </c>
      <c r="Q33" s="92">
        <f t="shared" ref="Q33:Q42" si="9">SUM(D33:G33)</f>
        <v>4393</v>
      </c>
      <c r="R33" s="92">
        <f t="shared" ref="R33:R37" si="10">SUM(I33:P33)</f>
        <v>626006</v>
      </c>
    </row>
    <row r="34" spans="2:18" x14ac:dyDescent="0.25">
      <c r="B34" s="315"/>
      <c r="C34" s="10" t="s">
        <v>58</v>
      </c>
      <c r="D34" s="89">
        <v>1463</v>
      </c>
      <c r="E34" s="89">
        <v>1107</v>
      </c>
      <c r="F34" s="89">
        <v>1486</v>
      </c>
      <c r="G34" s="89">
        <v>1417</v>
      </c>
      <c r="H34" s="10" t="s">
        <v>45</v>
      </c>
      <c r="I34" s="89">
        <v>1403</v>
      </c>
      <c r="J34" s="89">
        <v>64488</v>
      </c>
      <c r="K34" s="89">
        <v>71447</v>
      </c>
      <c r="L34" s="89">
        <v>76539</v>
      </c>
      <c r="M34" s="89">
        <v>79041</v>
      </c>
      <c r="N34" s="89">
        <v>69656</v>
      </c>
      <c r="O34" s="89">
        <v>58202</v>
      </c>
      <c r="P34" s="89">
        <v>65343</v>
      </c>
      <c r="Q34" s="92">
        <f t="shared" si="9"/>
        <v>5473</v>
      </c>
      <c r="R34" s="92">
        <f t="shared" si="10"/>
        <v>486119</v>
      </c>
    </row>
    <row r="35" spans="2:18" x14ac:dyDescent="0.25">
      <c r="B35" s="315"/>
      <c r="C35" s="10" t="s">
        <v>59</v>
      </c>
      <c r="D35" s="89">
        <v>120</v>
      </c>
      <c r="E35" s="89">
        <v>54</v>
      </c>
      <c r="F35" s="89">
        <v>164</v>
      </c>
      <c r="G35" s="89">
        <v>144</v>
      </c>
      <c r="H35" s="10" t="s">
        <v>47</v>
      </c>
      <c r="I35" s="89">
        <v>210</v>
      </c>
      <c r="J35" s="89">
        <v>25046</v>
      </c>
      <c r="K35" s="89">
        <v>30034</v>
      </c>
      <c r="L35" s="89">
        <v>34325</v>
      </c>
      <c r="M35" s="89">
        <v>37811</v>
      </c>
      <c r="N35" s="89">
        <v>37996</v>
      </c>
      <c r="O35" s="89">
        <v>27201</v>
      </c>
      <c r="P35" s="89">
        <v>32465</v>
      </c>
      <c r="Q35" s="92">
        <f t="shared" si="9"/>
        <v>482</v>
      </c>
      <c r="R35" s="92">
        <f t="shared" si="10"/>
        <v>225088</v>
      </c>
    </row>
    <row r="36" spans="2:18" x14ac:dyDescent="0.25">
      <c r="B36" s="315"/>
      <c r="C36" s="10" t="s">
        <v>60</v>
      </c>
      <c r="D36" s="89">
        <v>121</v>
      </c>
      <c r="E36" s="89">
        <v>0</v>
      </c>
      <c r="F36" s="89">
        <v>83</v>
      </c>
      <c r="G36" s="89">
        <v>88</v>
      </c>
      <c r="H36" s="142" t="s">
        <v>49</v>
      </c>
      <c r="I36" s="89">
        <v>0</v>
      </c>
      <c r="J36" s="89">
        <v>6769</v>
      </c>
      <c r="K36" s="89">
        <v>7970</v>
      </c>
      <c r="L36" s="89">
        <v>9231</v>
      </c>
      <c r="M36" s="89">
        <v>9920</v>
      </c>
      <c r="N36" s="89">
        <v>11131</v>
      </c>
      <c r="O36" s="89">
        <v>7263</v>
      </c>
      <c r="P36" s="89">
        <v>8807</v>
      </c>
      <c r="Q36" s="92">
        <f t="shared" si="9"/>
        <v>292</v>
      </c>
      <c r="R36" s="92">
        <f t="shared" si="10"/>
        <v>61091</v>
      </c>
    </row>
    <row r="37" spans="2:18" x14ac:dyDescent="0.25">
      <c r="B37" s="315"/>
      <c r="C37" s="10" t="s">
        <v>61</v>
      </c>
      <c r="D37" s="89">
        <v>0</v>
      </c>
      <c r="E37" s="89">
        <v>0</v>
      </c>
      <c r="F37" s="89">
        <v>68</v>
      </c>
      <c r="G37" s="89">
        <v>56</v>
      </c>
      <c r="H37" s="148" t="s">
        <v>51</v>
      </c>
      <c r="I37" s="89">
        <v>0</v>
      </c>
      <c r="J37" s="89">
        <v>6171</v>
      </c>
      <c r="K37" s="89">
        <v>6252</v>
      </c>
      <c r="L37" s="89">
        <v>6805</v>
      </c>
      <c r="M37" s="89">
        <v>8614</v>
      </c>
      <c r="N37" s="89">
        <v>6876</v>
      </c>
      <c r="O37" s="89">
        <v>7571</v>
      </c>
      <c r="P37" s="89">
        <v>7562</v>
      </c>
      <c r="Q37" s="92">
        <f t="shared" si="9"/>
        <v>124</v>
      </c>
      <c r="R37" s="92">
        <f t="shared" si="10"/>
        <v>49851</v>
      </c>
    </row>
    <row r="38" spans="2:18" x14ac:dyDescent="0.25">
      <c r="B38" s="315"/>
      <c r="C38" s="10" t="s">
        <v>62</v>
      </c>
      <c r="D38" s="89">
        <v>0</v>
      </c>
      <c r="E38" s="89">
        <v>0</v>
      </c>
      <c r="F38" s="89">
        <v>100</v>
      </c>
      <c r="G38" s="89">
        <v>0</v>
      </c>
      <c r="I38" s="89"/>
      <c r="J38" s="89"/>
      <c r="K38" s="89"/>
      <c r="L38" s="89"/>
      <c r="M38" s="89"/>
      <c r="N38" s="89"/>
      <c r="O38" s="89"/>
      <c r="P38" s="89"/>
      <c r="Q38" s="92">
        <f t="shared" si="9"/>
        <v>100</v>
      </c>
      <c r="R38" s="151"/>
    </row>
    <row r="39" spans="2:18" x14ac:dyDescent="0.25">
      <c r="B39" s="315"/>
      <c r="C39" s="10" t="s">
        <v>53</v>
      </c>
      <c r="D39" s="89">
        <v>0</v>
      </c>
      <c r="E39" s="89">
        <v>0</v>
      </c>
      <c r="F39" s="89">
        <v>0</v>
      </c>
      <c r="G39" s="89">
        <v>0</v>
      </c>
      <c r="I39" s="89"/>
      <c r="J39" s="89"/>
      <c r="K39" s="89"/>
      <c r="L39" s="89"/>
      <c r="M39" s="89"/>
      <c r="N39" s="89"/>
      <c r="O39" s="89"/>
      <c r="P39" s="89"/>
      <c r="Q39" s="92">
        <f t="shared" si="9"/>
        <v>0</v>
      </c>
      <c r="R39" s="151"/>
    </row>
    <row r="40" spans="2:18" x14ac:dyDescent="0.25">
      <c r="B40" s="307" t="s">
        <v>54</v>
      </c>
      <c r="C40" s="307"/>
      <c r="D40" s="11">
        <f t="shared" ref="D40" si="11">SUM(D32:D39)</f>
        <v>29712</v>
      </c>
      <c r="E40" s="11">
        <f t="shared" ref="E40:G40" si="12">SUM(E32:E39)</f>
        <v>29420</v>
      </c>
      <c r="F40" s="11">
        <f>SUM(F32:F39)</f>
        <v>29841</v>
      </c>
      <c r="G40" s="11">
        <f t="shared" si="12"/>
        <v>29721</v>
      </c>
      <c r="H40" s="154" t="s">
        <v>36</v>
      </c>
      <c r="I40" s="11">
        <f t="shared" ref="I40:R40" si="13">SUM(I32:I39)</f>
        <v>29634</v>
      </c>
      <c r="J40" s="11">
        <f t="shared" si="13"/>
        <v>236948</v>
      </c>
      <c r="K40" s="11">
        <f t="shared" si="13"/>
        <v>248108</v>
      </c>
      <c r="L40" s="11">
        <f t="shared" si="13"/>
        <v>261871</v>
      </c>
      <c r="M40" s="11">
        <f t="shared" si="13"/>
        <v>263109</v>
      </c>
      <c r="N40" s="11">
        <f t="shared" si="13"/>
        <v>231077</v>
      </c>
      <c r="O40" s="11">
        <f t="shared" si="13"/>
        <v>209861</v>
      </c>
      <c r="P40" s="11">
        <f t="shared" si="13"/>
        <v>221416</v>
      </c>
      <c r="Q40" s="93">
        <f t="shared" si="13"/>
        <v>118694</v>
      </c>
      <c r="R40" s="93">
        <f t="shared" si="13"/>
        <v>1702024</v>
      </c>
    </row>
    <row r="41" spans="2:18" x14ac:dyDescent="0.25">
      <c r="B41" s="316" t="s">
        <v>63</v>
      </c>
      <c r="C41" s="10" t="s">
        <v>64</v>
      </c>
      <c r="D41" s="89">
        <v>348980</v>
      </c>
      <c r="E41" s="89">
        <v>347080</v>
      </c>
      <c r="F41" s="89">
        <v>348100</v>
      </c>
      <c r="G41" s="141">
        <v>384200</v>
      </c>
      <c r="H41" s="10" t="s">
        <v>41</v>
      </c>
      <c r="I41" s="152">
        <v>392570</v>
      </c>
      <c r="J41" s="89">
        <f>38585+40788</f>
        <v>79373</v>
      </c>
      <c r="K41" s="89">
        <f>38576+42825</f>
        <v>81401</v>
      </c>
      <c r="L41" s="89">
        <f>37967+44164</f>
        <v>82131</v>
      </c>
      <c r="M41" s="89">
        <f>38480+43814</f>
        <v>82294</v>
      </c>
      <c r="N41" s="89">
        <f>37921+44072</f>
        <v>81993</v>
      </c>
      <c r="O41" s="89">
        <f>39276+45234</f>
        <v>84510</v>
      </c>
      <c r="P41" s="89">
        <f>38642+43719</f>
        <v>82361</v>
      </c>
      <c r="Q41" s="92">
        <f t="shared" si="9"/>
        <v>1428360</v>
      </c>
      <c r="R41" s="92">
        <f>SUM(I41:P41)</f>
        <v>966633</v>
      </c>
    </row>
    <row r="42" spans="2:18" x14ac:dyDescent="0.25">
      <c r="B42" s="316"/>
      <c r="C42" s="10" t="s">
        <v>65</v>
      </c>
      <c r="D42" s="89">
        <f>68253+94239+58636+64152+56503+55340+565799</f>
        <v>962922</v>
      </c>
      <c r="E42" s="89">
        <f>67969+94056+57952+67953+56680+61444+613568</f>
        <v>1019622</v>
      </c>
      <c r="F42" s="89">
        <f>67894+90144+59607+66579+57972+56821+606783</f>
        <v>1005800</v>
      </c>
      <c r="G42" s="141">
        <f>55531+74341+47733+51165+40211+40377+381541</f>
        <v>690899</v>
      </c>
      <c r="H42" s="157" t="s">
        <v>66</v>
      </c>
      <c r="I42" s="152">
        <f>53137+70503+40671+47997+38735</f>
        <v>251043</v>
      </c>
      <c r="J42" s="89">
        <f>43879+197510+459476</f>
        <v>700865</v>
      </c>
      <c r="K42" s="89">
        <f>45546+214379+503089</f>
        <v>763014</v>
      </c>
      <c r="L42" s="89">
        <f>48151+236993+598259</f>
        <v>883403</v>
      </c>
      <c r="M42" s="89">
        <f>49010+240814+617519</f>
        <v>907343</v>
      </c>
      <c r="N42" s="89">
        <f>48861+251782+655197</f>
        <v>955840</v>
      </c>
      <c r="O42" s="89">
        <f>48089+240965+629951</f>
        <v>919005</v>
      </c>
      <c r="P42" s="89">
        <f>48167+248680+668891</f>
        <v>965738</v>
      </c>
      <c r="Q42" s="92">
        <f t="shared" si="9"/>
        <v>3679243</v>
      </c>
      <c r="R42" s="92">
        <f t="shared" ref="R42" si="14">SUM(I42:P42)</f>
        <v>6346251</v>
      </c>
    </row>
    <row r="43" spans="2:18" x14ac:dyDescent="0.25">
      <c r="B43" s="307" t="s">
        <v>54</v>
      </c>
      <c r="C43" s="307"/>
      <c r="D43" s="11">
        <f t="shared" ref="D43" si="15">SUM(D41:D42)</f>
        <v>1311902</v>
      </c>
      <c r="E43" s="11">
        <f t="shared" ref="E43:G43" si="16">SUM(E41:E42)</f>
        <v>1366702</v>
      </c>
      <c r="F43" s="11">
        <f t="shared" si="16"/>
        <v>1353900</v>
      </c>
      <c r="G43" s="11">
        <f t="shared" si="16"/>
        <v>1075099</v>
      </c>
      <c r="H43" s="155" t="s">
        <v>36</v>
      </c>
      <c r="I43" s="11">
        <f t="shared" ref="I43:P43" si="17">SUM(I41:I42)</f>
        <v>643613</v>
      </c>
      <c r="J43" s="11">
        <f t="shared" si="17"/>
        <v>780238</v>
      </c>
      <c r="K43" s="11">
        <f t="shared" si="17"/>
        <v>844415</v>
      </c>
      <c r="L43" s="11">
        <f t="shared" si="17"/>
        <v>965534</v>
      </c>
      <c r="M43" s="11">
        <f t="shared" si="17"/>
        <v>989637</v>
      </c>
      <c r="N43" s="11">
        <f t="shared" si="17"/>
        <v>1037833</v>
      </c>
      <c r="O43" s="11">
        <f t="shared" si="17"/>
        <v>1003515</v>
      </c>
      <c r="P43" s="11">
        <f t="shared" si="17"/>
        <v>1048099</v>
      </c>
      <c r="Q43" s="11">
        <f>Q41+Q42</f>
        <v>5107603</v>
      </c>
      <c r="R43" s="93">
        <f>SUM(R41:R42)</f>
        <v>7312884</v>
      </c>
    </row>
    <row r="44" spans="2:18" x14ac:dyDescent="0.25">
      <c r="B44" s="316" t="s">
        <v>67</v>
      </c>
      <c r="C44" s="10" t="s">
        <v>64</v>
      </c>
      <c r="D44" s="89">
        <v>4420</v>
      </c>
      <c r="E44" s="89">
        <v>4290</v>
      </c>
      <c r="F44" s="89">
        <v>4200</v>
      </c>
      <c r="G44" s="141">
        <v>4710</v>
      </c>
      <c r="H44" s="10" t="s">
        <v>41</v>
      </c>
      <c r="I44" s="152">
        <v>4680</v>
      </c>
      <c r="J44" s="89">
        <f>392+573</f>
        <v>965</v>
      </c>
      <c r="K44" s="89">
        <f>371+603</f>
        <v>974</v>
      </c>
      <c r="L44" s="89">
        <f>323+559</f>
        <v>882</v>
      </c>
      <c r="M44" s="89">
        <f>334+601</f>
        <v>935</v>
      </c>
      <c r="N44" s="89">
        <f>313+620</f>
        <v>933</v>
      </c>
      <c r="O44" s="89">
        <f>358+503</f>
        <v>861</v>
      </c>
      <c r="P44" s="89">
        <f>355+559</f>
        <v>914</v>
      </c>
      <c r="Q44" s="92">
        <f t="shared" ref="Q44:Q48" si="18">SUM(D44:G44)</f>
        <v>17620</v>
      </c>
      <c r="R44" s="92">
        <f t="shared" ref="R44:R48" si="19">SUM(I44:P44)</f>
        <v>11144</v>
      </c>
    </row>
    <row r="45" spans="2:18" x14ac:dyDescent="0.25">
      <c r="B45" s="316"/>
      <c r="C45" s="10" t="s">
        <v>65</v>
      </c>
      <c r="D45" s="89">
        <f>1090+2644+1975+3567+2311+2937+30143</f>
        <v>44667</v>
      </c>
      <c r="E45" s="89">
        <f>1389+2597+2084+3196+2151+2993+22026</f>
        <v>36436</v>
      </c>
      <c r="F45" s="89">
        <f>1434+2381+2153+3005+2604+2424+22875</f>
        <v>36876</v>
      </c>
      <c r="G45" s="141">
        <f>1215+2016+1925+2938+2548+3046+19203</f>
        <v>32891</v>
      </c>
      <c r="H45" s="157" t="s">
        <v>66</v>
      </c>
      <c r="I45" s="152">
        <f>1310+2520+2072+2391+2332</f>
        <v>10625</v>
      </c>
      <c r="J45" s="89">
        <f>792+7018+25664</f>
        <v>33474</v>
      </c>
      <c r="K45" s="89">
        <f>842+6762+27860</f>
        <v>35464</v>
      </c>
      <c r="L45" s="89">
        <f>850+7165+34831</f>
        <v>42846</v>
      </c>
      <c r="M45" s="89">
        <f>966+7133+35667</f>
        <v>43766</v>
      </c>
      <c r="N45" s="89">
        <f>745+7397+43659</f>
        <v>51801</v>
      </c>
      <c r="O45" s="89">
        <f>866+7197+33765</f>
        <v>41828</v>
      </c>
      <c r="P45" s="89">
        <f>739+7254+31990</f>
        <v>39983</v>
      </c>
      <c r="Q45" s="92">
        <f t="shared" si="18"/>
        <v>150870</v>
      </c>
      <c r="R45" s="92">
        <f t="shared" si="19"/>
        <v>299787</v>
      </c>
    </row>
    <row r="46" spans="2:18" x14ac:dyDescent="0.25">
      <c r="B46" s="307" t="s">
        <v>54</v>
      </c>
      <c r="C46" s="307"/>
      <c r="D46" s="11">
        <f t="shared" ref="D46" si="20">SUM(D44:D45)</f>
        <v>49087</v>
      </c>
      <c r="E46" s="11">
        <f t="shared" ref="E46:G46" si="21">SUM(E44:E45)</f>
        <v>40726</v>
      </c>
      <c r="F46" s="11">
        <f t="shared" si="21"/>
        <v>41076</v>
      </c>
      <c r="G46" s="11">
        <f t="shared" si="21"/>
        <v>37601</v>
      </c>
      <c r="H46" s="155" t="s">
        <v>36</v>
      </c>
      <c r="I46" s="11">
        <f t="shared" ref="I46:P46" si="22">SUM(I44:I45)</f>
        <v>15305</v>
      </c>
      <c r="J46" s="11">
        <f t="shared" si="22"/>
        <v>34439</v>
      </c>
      <c r="K46" s="11">
        <f t="shared" si="22"/>
        <v>36438</v>
      </c>
      <c r="L46" s="11">
        <f t="shared" si="22"/>
        <v>43728</v>
      </c>
      <c r="M46" s="11">
        <f t="shared" si="22"/>
        <v>44701</v>
      </c>
      <c r="N46" s="11">
        <f t="shared" si="22"/>
        <v>52734</v>
      </c>
      <c r="O46" s="11">
        <f t="shared" si="22"/>
        <v>42689</v>
      </c>
      <c r="P46" s="11">
        <f t="shared" si="22"/>
        <v>40897</v>
      </c>
      <c r="Q46" s="11">
        <f t="shared" ref="Q46" si="23">Q44+Q45</f>
        <v>168490</v>
      </c>
      <c r="R46" s="93">
        <f t="shared" ref="R46" si="24">SUM(R44:R45)</f>
        <v>310931</v>
      </c>
    </row>
    <row r="47" spans="2:18" x14ac:dyDescent="0.25">
      <c r="B47" s="316" t="s">
        <v>68</v>
      </c>
      <c r="C47" s="10" t="s">
        <v>64</v>
      </c>
      <c r="D47" s="89">
        <v>6640</v>
      </c>
      <c r="E47" s="89">
        <v>6700</v>
      </c>
      <c r="F47" s="89">
        <v>7140</v>
      </c>
      <c r="G47" s="141">
        <v>6880</v>
      </c>
      <c r="H47" s="10" t="s">
        <v>41</v>
      </c>
      <c r="I47" s="152">
        <v>9220</v>
      </c>
      <c r="J47" s="89">
        <f>660+998</f>
        <v>1658</v>
      </c>
      <c r="K47" s="89">
        <f>614+820</f>
        <v>1434</v>
      </c>
      <c r="L47" s="89">
        <f>548+819</f>
        <v>1367</v>
      </c>
      <c r="M47" s="89">
        <f>563+831</f>
        <v>1394</v>
      </c>
      <c r="N47" s="89">
        <f>545+725</f>
        <v>1270</v>
      </c>
      <c r="O47" s="89">
        <f>551+788</f>
        <v>1339</v>
      </c>
      <c r="P47" s="89">
        <f>655+1013</f>
        <v>1668</v>
      </c>
      <c r="Q47" s="92">
        <f t="shared" si="18"/>
        <v>27360</v>
      </c>
      <c r="R47" s="92">
        <f t="shared" ref="R47" si="25">SUM(I47:P47)</f>
        <v>19350</v>
      </c>
    </row>
    <row r="48" spans="2:18" x14ac:dyDescent="0.25">
      <c r="B48" s="316"/>
      <c r="C48" s="10" t="s">
        <v>65</v>
      </c>
      <c r="D48" s="89">
        <f>1947+4179+4873+9471+13621+20906+660360</f>
        <v>715357</v>
      </c>
      <c r="E48" s="89">
        <f>1982+4459+4932+9641+13188+20071+686582</f>
        <v>740855</v>
      </c>
      <c r="F48" s="89">
        <f>1770+3796+4010+9422+11479+21532+649381</f>
        <v>701390</v>
      </c>
      <c r="G48" s="141">
        <f>2279+3983+4300+9470+13652+19083+639933</f>
        <v>692700</v>
      </c>
      <c r="H48" s="157" t="s">
        <v>66</v>
      </c>
      <c r="I48" s="152">
        <f>2196+5085+5075+9773+10208</f>
        <v>32337</v>
      </c>
      <c r="J48" s="89">
        <f>1356+15487+522918</f>
        <v>539761</v>
      </c>
      <c r="K48" s="89">
        <f>1226+15882+568986</f>
        <v>586094</v>
      </c>
      <c r="L48" s="89">
        <f>1055+15594+631779</f>
        <v>648428</v>
      </c>
      <c r="M48" s="89">
        <f>1016+15092+668536</f>
        <v>684644</v>
      </c>
      <c r="N48" s="89">
        <f>973+15632+677110</f>
        <v>693715</v>
      </c>
      <c r="O48" s="89">
        <f>899+16288+691168</f>
        <v>708355</v>
      </c>
      <c r="P48" s="89">
        <f>1136+16049+578656</f>
        <v>595841</v>
      </c>
      <c r="Q48" s="92">
        <f t="shared" si="18"/>
        <v>2850302</v>
      </c>
      <c r="R48" s="92">
        <f t="shared" si="19"/>
        <v>4489175</v>
      </c>
    </row>
    <row r="49" spans="2:18" x14ac:dyDescent="0.25">
      <c r="B49" s="307" t="s">
        <v>54</v>
      </c>
      <c r="C49" s="307"/>
      <c r="D49" s="11">
        <f t="shared" ref="D49" si="26">SUM(D47:D48)</f>
        <v>721997</v>
      </c>
      <c r="E49" s="11">
        <f t="shared" ref="E49:G49" si="27">SUM(E47:E48)</f>
        <v>747555</v>
      </c>
      <c r="F49" s="11">
        <f t="shared" si="27"/>
        <v>708530</v>
      </c>
      <c r="G49" s="90">
        <f t="shared" si="27"/>
        <v>699580</v>
      </c>
      <c r="H49" s="156"/>
      <c r="I49" s="153">
        <f t="shared" ref="I49:P49" si="28">SUM(I47:I48)</f>
        <v>41557</v>
      </c>
      <c r="J49" s="11">
        <f t="shared" si="28"/>
        <v>541419</v>
      </c>
      <c r="K49" s="11">
        <f t="shared" si="28"/>
        <v>587528</v>
      </c>
      <c r="L49" s="11">
        <f t="shared" si="28"/>
        <v>649795</v>
      </c>
      <c r="M49" s="11">
        <f t="shared" si="28"/>
        <v>686038</v>
      </c>
      <c r="N49" s="11">
        <f t="shared" si="28"/>
        <v>694985</v>
      </c>
      <c r="O49" s="11">
        <f t="shared" si="28"/>
        <v>709694</v>
      </c>
      <c r="P49" s="11">
        <f t="shared" si="28"/>
        <v>597509</v>
      </c>
      <c r="Q49" s="11">
        <f t="shared" ref="Q49" si="29">Q47+Q48</f>
        <v>2877662</v>
      </c>
      <c r="R49" s="93">
        <f t="shared" ref="R49" si="30">SUM(R47:R48)</f>
        <v>4508525</v>
      </c>
    </row>
    <row r="50" spans="2:18" x14ac:dyDescent="0.25">
      <c r="B50" s="317" t="s">
        <v>69</v>
      </c>
      <c r="C50" s="317"/>
      <c r="D50" s="105">
        <f t="shared" ref="D50" si="31">(D31+D40+D43+D46+D49)</f>
        <v>15080005</v>
      </c>
      <c r="E50" s="105">
        <f t="shared" ref="E50:G50" si="32">(E31+E40+E43+E46+E49)</f>
        <v>14840078</v>
      </c>
      <c r="F50" s="105">
        <f t="shared" si="32"/>
        <v>15105667</v>
      </c>
      <c r="G50" s="105">
        <f t="shared" si="32"/>
        <v>15376918</v>
      </c>
      <c r="I50" s="105">
        <f t="shared" ref="I50:P50" si="33">(I31+I40+I43+I46+I49)</f>
        <v>13710542</v>
      </c>
      <c r="J50" s="105">
        <f t="shared" si="33"/>
        <v>12401234</v>
      </c>
      <c r="K50" s="105">
        <f t="shared" si="33"/>
        <v>12898034</v>
      </c>
      <c r="L50" s="105">
        <f t="shared" si="33"/>
        <v>13390741</v>
      </c>
      <c r="M50" s="105">
        <f t="shared" si="33"/>
        <v>13649624</v>
      </c>
      <c r="N50" s="105">
        <f t="shared" si="33"/>
        <v>13849373</v>
      </c>
      <c r="O50" s="105">
        <f t="shared" si="33"/>
        <v>12710995</v>
      </c>
      <c r="P50" s="105">
        <f t="shared" si="33"/>
        <v>12999629</v>
      </c>
      <c r="Q50" s="175" t="s">
        <v>32</v>
      </c>
      <c r="R50" s="12">
        <f>Q31+Q40+Q43+Q46+Q49+R49+R46+R43+R40+R31</f>
        <v>166012840</v>
      </c>
    </row>
    <row r="51" spans="2:18" x14ac:dyDescent="0.25">
      <c r="B51" s="307" t="s">
        <v>70</v>
      </c>
      <c r="C51" s="307"/>
      <c r="D51" s="11">
        <f>43829+10</f>
        <v>43839</v>
      </c>
      <c r="E51" s="11">
        <f>49915+10</f>
        <v>49925</v>
      </c>
      <c r="F51" s="11">
        <f>29166+10</f>
        <v>29176</v>
      </c>
      <c r="G51" s="90">
        <f>10+22993</f>
        <v>23003</v>
      </c>
      <c r="H51" s="156"/>
      <c r="I51" s="153">
        <f>10</f>
        <v>10</v>
      </c>
      <c r="J51" s="11">
        <v>25721</v>
      </c>
      <c r="K51" s="11">
        <f>23198+10140</f>
        <v>33338</v>
      </c>
      <c r="L51" s="11">
        <f>34836+169</f>
        <v>35005</v>
      </c>
      <c r="M51" s="11">
        <f>0</f>
        <v>0</v>
      </c>
      <c r="N51" s="11">
        <f>6833+67524</f>
        <v>74357</v>
      </c>
      <c r="O51" s="11">
        <f>5772+96704</f>
        <v>102476</v>
      </c>
      <c r="P51" s="11">
        <f>40368</f>
        <v>40368</v>
      </c>
      <c r="Q51" s="11">
        <f>SUM(D51:G51)</f>
        <v>145943</v>
      </c>
      <c r="R51" s="93">
        <f>SUM(I51:P51)</f>
        <v>311275</v>
      </c>
    </row>
    <row r="52" spans="2:18" x14ac:dyDescent="0.25">
      <c r="B52" s="317" t="s">
        <v>71</v>
      </c>
      <c r="C52" s="317"/>
      <c r="D52" s="105">
        <f>D40+D43+D46+D49+D51+D31</f>
        <v>15123844</v>
      </c>
      <c r="E52" s="105">
        <f t="shared" ref="E52:F52" si="34">E40+E43+E46+E49+E51+E31</f>
        <v>14890003</v>
      </c>
      <c r="F52" s="105">
        <f t="shared" si="34"/>
        <v>15134843</v>
      </c>
      <c r="G52" s="105">
        <f>G40+G43+G46+G49+G51+G31</f>
        <v>15399921</v>
      </c>
      <c r="I52" s="105">
        <f t="shared" ref="I52:P52" si="35">I40+I43+I46+I49+I51+I31</f>
        <v>13710552</v>
      </c>
      <c r="J52" s="105">
        <f t="shared" si="35"/>
        <v>12426955</v>
      </c>
      <c r="K52" s="105">
        <f t="shared" si="35"/>
        <v>12931372</v>
      </c>
      <c r="L52" s="105">
        <f t="shared" si="35"/>
        <v>13425746</v>
      </c>
      <c r="M52" s="105">
        <f t="shared" si="35"/>
        <v>13649624</v>
      </c>
      <c r="N52" s="105">
        <f t="shared" si="35"/>
        <v>13923730</v>
      </c>
      <c r="O52" s="105">
        <f t="shared" si="35"/>
        <v>12813471</v>
      </c>
      <c r="P52" s="105">
        <f t="shared" si="35"/>
        <v>13039997</v>
      </c>
      <c r="Q52" s="175" t="s">
        <v>32</v>
      </c>
      <c r="R52" s="12">
        <f>Q31+Q40+Q43+Q46+Q49+R49+R46+R43+R40+R31+Q51+R51</f>
        <v>166470058</v>
      </c>
    </row>
    <row r="53" spans="2:18" ht="14.4" x14ac:dyDescent="0.3">
      <c r="D53" s="160"/>
      <c r="E53" s="160"/>
      <c r="F53" s="160"/>
      <c r="G53" s="160"/>
      <c r="I53" s="160"/>
      <c r="J53" s="160"/>
      <c r="K53" s="160"/>
      <c r="L53" s="160"/>
      <c r="M53" s="160"/>
      <c r="N53" s="160"/>
      <c r="O53" s="160"/>
      <c r="P53" s="160"/>
    </row>
    <row r="54" spans="2:18" ht="14.4" x14ac:dyDescent="0.3">
      <c r="D54" s="160"/>
      <c r="E54" s="160"/>
      <c r="F54" s="160"/>
      <c r="G54" s="160"/>
      <c r="I54" s="160"/>
      <c r="J54" s="160"/>
      <c r="K54" s="160"/>
      <c r="L54" s="160"/>
      <c r="M54" s="160"/>
      <c r="N54" s="160"/>
      <c r="O54" s="160"/>
      <c r="P54" s="160"/>
    </row>
    <row r="55" spans="2:18" ht="16.2" x14ac:dyDescent="0.25">
      <c r="B55" s="298" t="s">
        <v>72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</row>
    <row r="56" spans="2:18" x14ac:dyDescent="0.25">
      <c r="B56" s="8" t="s">
        <v>35</v>
      </c>
      <c r="C56" s="8" t="s">
        <v>36</v>
      </c>
      <c r="D56" s="9">
        <f>+D22</f>
        <v>43831</v>
      </c>
      <c r="E56" s="9">
        <f>+E22</f>
        <v>43862</v>
      </c>
      <c r="F56" s="9">
        <f>+F22</f>
        <v>43893</v>
      </c>
      <c r="G56" s="9">
        <f>+G22</f>
        <v>43924</v>
      </c>
      <c r="H56" s="8" t="s">
        <v>36</v>
      </c>
      <c r="I56" s="9">
        <f t="shared" ref="I56:P56" si="36">+I22</f>
        <v>43955</v>
      </c>
      <c r="J56" s="9">
        <f t="shared" si="36"/>
        <v>43986</v>
      </c>
      <c r="K56" s="9">
        <f t="shared" si="36"/>
        <v>44017</v>
      </c>
      <c r="L56" s="9">
        <f t="shared" si="36"/>
        <v>44048</v>
      </c>
      <c r="M56" s="9">
        <f t="shared" si="36"/>
        <v>44079</v>
      </c>
      <c r="N56" s="9">
        <f t="shared" si="36"/>
        <v>44110</v>
      </c>
      <c r="O56" s="9">
        <f t="shared" si="36"/>
        <v>44141</v>
      </c>
      <c r="P56" s="9">
        <f t="shared" si="36"/>
        <v>44172</v>
      </c>
      <c r="Q56" s="91" t="s">
        <v>37</v>
      </c>
      <c r="R56" s="91" t="s">
        <v>38</v>
      </c>
    </row>
    <row r="57" spans="2:18" x14ac:dyDescent="0.25">
      <c r="B57" s="315" t="s">
        <v>39</v>
      </c>
      <c r="C57" s="10" t="s">
        <v>40</v>
      </c>
      <c r="D57" s="89">
        <v>5110112</v>
      </c>
      <c r="E57" s="89">
        <v>5202085</v>
      </c>
      <c r="F57" s="89">
        <v>4953842</v>
      </c>
      <c r="G57" s="89">
        <v>4432664</v>
      </c>
      <c r="H57" s="10" t="s">
        <v>41</v>
      </c>
      <c r="I57" s="89">
        <v>4822051</v>
      </c>
      <c r="J57" s="89">
        <v>1261698</v>
      </c>
      <c r="K57" s="89">
        <v>1234646</v>
      </c>
      <c r="L57" s="89">
        <v>1203353</v>
      </c>
      <c r="M57" s="89">
        <v>1198775</v>
      </c>
      <c r="N57" s="89">
        <v>1175543</v>
      </c>
      <c r="O57" s="89">
        <v>1362569</v>
      </c>
      <c r="P57" s="89">
        <v>1305045</v>
      </c>
      <c r="Q57" s="92">
        <f>SUM(D57:G57)</f>
        <v>19698703</v>
      </c>
      <c r="R57" s="92">
        <f>SUM(I57:P57)</f>
        <v>13563680</v>
      </c>
    </row>
    <row r="58" spans="2:18" x14ac:dyDescent="0.25">
      <c r="B58" s="315"/>
      <c r="C58" s="10" t="s">
        <v>42</v>
      </c>
      <c r="D58" s="89">
        <v>2680699</v>
      </c>
      <c r="E58" s="89">
        <v>2736246</v>
      </c>
      <c r="F58" s="89">
        <v>2812316</v>
      </c>
      <c r="G58" s="89">
        <v>3072143</v>
      </c>
      <c r="H58" s="10" t="s">
        <v>43</v>
      </c>
      <c r="I58" s="89">
        <v>2912023</v>
      </c>
      <c r="J58" s="89">
        <v>3623530</v>
      </c>
      <c r="K58" s="89">
        <v>3636332</v>
      </c>
      <c r="L58" s="89">
        <v>3618715</v>
      </c>
      <c r="M58" s="89">
        <v>3612495</v>
      </c>
      <c r="N58" s="89">
        <v>3617390</v>
      </c>
      <c r="O58" s="89">
        <v>3611451</v>
      </c>
      <c r="P58" s="89">
        <v>3655691</v>
      </c>
      <c r="Q58" s="92">
        <f t="shared" ref="Q58:Q64" si="37">SUM(D58:G58)</f>
        <v>11301404</v>
      </c>
      <c r="R58" s="92">
        <f t="shared" ref="R58:R62" si="38">SUM(I58:P58)</f>
        <v>28287627</v>
      </c>
    </row>
    <row r="59" spans="2:18" x14ac:dyDescent="0.25">
      <c r="B59" s="315"/>
      <c r="C59" s="10" t="s">
        <v>44</v>
      </c>
      <c r="D59" s="89">
        <v>2016125</v>
      </c>
      <c r="E59" s="89">
        <v>2074021</v>
      </c>
      <c r="F59" s="89">
        <v>2370878</v>
      </c>
      <c r="G59" s="89">
        <v>2910924</v>
      </c>
      <c r="H59" s="10" t="s">
        <v>45</v>
      </c>
      <c r="I59" s="89">
        <v>2538295</v>
      </c>
      <c r="J59" s="89">
        <v>2506317</v>
      </c>
      <c r="K59" s="89">
        <v>2616614</v>
      </c>
      <c r="L59" s="89">
        <v>2717315</v>
      </c>
      <c r="M59" s="89">
        <v>2787744</v>
      </c>
      <c r="N59" s="89">
        <v>2987029</v>
      </c>
      <c r="O59" s="89">
        <v>2567331</v>
      </c>
      <c r="P59" s="89">
        <v>2649294</v>
      </c>
      <c r="Q59" s="92">
        <f t="shared" si="37"/>
        <v>9371948</v>
      </c>
      <c r="R59" s="92">
        <f t="shared" si="38"/>
        <v>21369939</v>
      </c>
    </row>
    <row r="60" spans="2:18" x14ac:dyDescent="0.25">
      <c r="B60" s="315"/>
      <c r="C60" s="10" t="s">
        <v>46</v>
      </c>
      <c r="D60" s="89">
        <v>411997</v>
      </c>
      <c r="E60" s="89">
        <v>382881</v>
      </c>
      <c r="F60" s="89">
        <v>465457</v>
      </c>
      <c r="G60" s="89">
        <v>635380</v>
      </c>
      <c r="H60" s="10" t="s">
        <v>47</v>
      </c>
      <c r="I60" s="89">
        <v>507538</v>
      </c>
      <c r="J60" s="89">
        <v>1057426</v>
      </c>
      <c r="K60" s="89">
        <v>1188135</v>
      </c>
      <c r="L60" s="89">
        <v>1297367</v>
      </c>
      <c r="M60" s="89">
        <v>1359659</v>
      </c>
      <c r="N60" s="89">
        <v>1421871</v>
      </c>
      <c r="O60" s="89">
        <v>1106369</v>
      </c>
      <c r="P60" s="89">
        <v>1207785</v>
      </c>
      <c r="Q60" s="92">
        <f t="shared" si="37"/>
        <v>1895715</v>
      </c>
      <c r="R60" s="92">
        <f t="shared" si="38"/>
        <v>9146150</v>
      </c>
    </row>
    <row r="61" spans="2:18" x14ac:dyDescent="0.25">
      <c r="B61" s="315"/>
      <c r="C61" s="10" t="s">
        <v>48</v>
      </c>
      <c r="D61" s="89">
        <v>160956</v>
      </c>
      <c r="E61" s="89">
        <v>148030</v>
      </c>
      <c r="F61" s="89">
        <v>175742</v>
      </c>
      <c r="G61" s="89">
        <v>211818</v>
      </c>
      <c r="H61" s="142" t="s">
        <v>49</v>
      </c>
      <c r="I61" s="89">
        <v>191024</v>
      </c>
      <c r="J61" s="89">
        <v>343682</v>
      </c>
      <c r="K61" s="89">
        <v>377711</v>
      </c>
      <c r="L61" s="89">
        <v>410948</v>
      </c>
      <c r="M61" s="89">
        <v>431585</v>
      </c>
      <c r="N61" s="89">
        <v>459709</v>
      </c>
      <c r="O61" s="89">
        <v>309812</v>
      </c>
      <c r="P61" s="89">
        <v>359711</v>
      </c>
      <c r="Q61" s="92">
        <f t="shared" si="37"/>
        <v>696546</v>
      </c>
      <c r="R61" s="92">
        <f t="shared" si="38"/>
        <v>2884182</v>
      </c>
    </row>
    <row r="62" spans="2:18" x14ac:dyDescent="0.25">
      <c r="B62" s="315"/>
      <c r="C62" s="10" t="s">
        <v>50</v>
      </c>
      <c r="D62" s="89">
        <v>62652</v>
      </c>
      <c r="E62" s="89">
        <v>62357</v>
      </c>
      <c r="F62" s="89">
        <v>69324</v>
      </c>
      <c r="G62" s="89">
        <v>79328</v>
      </c>
      <c r="H62" s="148" t="s">
        <v>51</v>
      </c>
      <c r="I62" s="89">
        <v>73003</v>
      </c>
      <c r="J62" s="89">
        <v>273130</v>
      </c>
      <c r="K62" s="89">
        <v>297296</v>
      </c>
      <c r="L62" s="89">
        <v>312386</v>
      </c>
      <c r="M62" s="89">
        <v>345458</v>
      </c>
      <c r="N62" s="89">
        <v>310376</v>
      </c>
      <c r="O62" s="89">
        <v>216231</v>
      </c>
      <c r="P62" s="89">
        <v>262414</v>
      </c>
      <c r="Q62" s="92">
        <f t="shared" si="37"/>
        <v>273661</v>
      </c>
      <c r="R62" s="92">
        <f t="shared" si="38"/>
        <v>2090294</v>
      </c>
    </row>
    <row r="63" spans="2:18" x14ac:dyDescent="0.25">
      <c r="B63" s="315"/>
      <c r="C63" s="10" t="s">
        <v>52</v>
      </c>
      <c r="D63" s="89">
        <v>30495</v>
      </c>
      <c r="E63" s="89">
        <v>32747</v>
      </c>
      <c r="F63" s="89">
        <v>33890</v>
      </c>
      <c r="G63" s="89">
        <v>40425</v>
      </c>
      <c r="H63" s="144"/>
      <c r="I63" s="89"/>
      <c r="J63" s="89"/>
      <c r="K63" s="89"/>
      <c r="L63" s="89"/>
      <c r="M63" s="89"/>
      <c r="N63" s="89"/>
      <c r="O63" s="89"/>
      <c r="P63" s="89"/>
      <c r="Q63" s="92">
        <f t="shared" si="37"/>
        <v>137557</v>
      </c>
      <c r="R63" s="151"/>
    </row>
    <row r="64" spans="2:18" x14ac:dyDescent="0.25">
      <c r="B64" s="315"/>
      <c r="C64" s="10" t="s">
        <v>53</v>
      </c>
      <c r="D64" s="89">
        <v>116227</v>
      </c>
      <c r="E64" s="89">
        <v>91999</v>
      </c>
      <c r="F64" s="89">
        <v>114780</v>
      </c>
      <c r="G64" s="89">
        <v>100744</v>
      </c>
      <c r="H64" s="144"/>
      <c r="I64" s="89"/>
      <c r="J64" s="89"/>
      <c r="K64" s="89"/>
      <c r="L64" s="89"/>
      <c r="M64" s="89"/>
      <c r="N64" s="89"/>
      <c r="O64" s="89"/>
      <c r="P64" s="89"/>
      <c r="Q64" s="92">
        <f t="shared" si="37"/>
        <v>423750</v>
      </c>
      <c r="R64" s="151"/>
    </row>
    <row r="65" spans="2:18" x14ac:dyDescent="0.25">
      <c r="B65" s="307" t="s">
        <v>54</v>
      </c>
      <c r="C65" s="307"/>
      <c r="D65" s="11">
        <f xml:space="preserve"> SUM(D57:D64)</f>
        <v>10589263</v>
      </c>
      <c r="E65" s="11">
        <f t="shared" ref="E65:G65" si="39" xml:space="preserve"> SUM(E57:E64)</f>
        <v>10730366</v>
      </c>
      <c r="F65" s="11">
        <f t="shared" si="39"/>
        <v>10996229</v>
      </c>
      <c r="G65" s="11">
        <f t="shared" si="39"/>
        <v>11483426</v>
      </c>
      <c r="H65" s="8" t="s">
        <v>36</v>
      </c>
      <c r="I65" s="11">
        <f t="shared" ref="I65:P65" si="40" xml:space="preserve"> SUM(I57:I64)</f>
        <v>11043934</v>
      </c>
      <c r="J65" s="11">
        <f t="shared" si="40"/>
        <v>9065783</v>
      </c>
      <c r="K65" s="11">
        <f t="shared" si="40"/>
        <v>9350734</v>
      </c>
      <c r="L65" s="11">
        <f t="shared" si="40"/>
        <v>9560084</v>
      </c>
      <c r="M65" s="11">
        <f t="shared" si="40"/>
        <v>9735716</v>
      </c>
      <c r="N65" s="11">
        <f t="shared" si="40"/>
        <v>9971918</v>
      </c>
      <c r="O65" s="11">
        <f t="shared" si="40"/>
        <v>9173763</v>
      </c>
      <c r="P65" s="11">
        <f t="shared" si="40"/>
        <v>9439940</v>
      </c>
      <c r="Q65" s="93">
        <f>SUM(Q57:Q64)</f>
        <v>43799284</v>
      </c>
      <c r="R65" s="93">
        <f>SUM(R57:R64)</f>
        <v>77341872</v>
      </c>
    </row>
    <row r="66" spans="2:18" x14ac:dyDescent="0.25">
      <c r="B66" s="315" t="s">
        <v>55</v>
      </c>
      <c r="C66" s="10" t="s">
        <v>56</v>
      </c>
      <c r="D66" s="89">
        <v>2390</v>
      </c>
      <c r="E66" s="89">
        <v>2788</v>
      </c>
      <c r="F66" s="89">
        <v>2732</v>
      </c>
      <c r="G66" s="89">
        <v>2796</v>
      </c>
      <c r="H66" s="10" t="s">
        <v>41</v>
      </c>
      <c r="I66" s="89">
        <v>2914</v>
      </c>
      <c r="J66" s="89">
        <v>32663</v>
      </c>
      <c r="K66" s="89">
        <v>30933</v>
      </c>
      <c r="L66" s="89">
        <v>29597</v>
      </c>
      <c r="M66" s="89">
        <v>25234</v>
      </c>
      <c r="N66" s="89">
        <v>21932</v>
      </c>
      <c r="O66" s="89">
        <v>28038</v>
      </c>
      <c r="P66" s="89">
        <v>22625</v>
      </c>
      <c r="Q66" s="92">
        <f>SUM(D66:G66)</f>
        <v>10706</v>
      </c>
      <c r="R66" s="92">
        <f>SUM(I66:P66)</f>
        <v>193936</v>
      </c>
    </row>
    <row r="67" spans="2:18" x14ac:dyDescent="0.25">
      <c r="B67" s="315"/>
      <c r="C67" s="10" t="s">
        <v>57</v>
      </c>
      <c r="D67" s="89">
        <v>222</v>
      </c>
      <c r="E67" s="89">
        <v>327</v>
      </c>
      <c r="F67" s="89">
        <v>349</v>
      </c>
      <c r="G67" s="89">
        <v>387</v>
      </c>
      <c r="H67" s="10" t="s">
        <v>43</v>
      </c>
      <c r="I67" s="89">
        <v>341</v>
      </c>
      <c r="J67" s="89">
        <v>76937</v>
      </c>
      <c r="K67" s="89">
        <v>77342</v>
      </c>
      <c r="L67" s="89">
        <v>82133</v>
      </c>
      <c r="M67" s="89">
        <v>80801</v>
      </c>
      <c r="N67" s="89">
        <v>65328</v>
      </c>
      <c r="O67" s="89">
        <v>61702</v>
      </c>
      <c r="P67" s="89">
        <v>65713</v>
      </c>
      <c r="Q67" s="92">
        <f t="shared" ref="Q67:Q73" si="41">SUM(D67:G67)</f>
        <v>1285</v>
      </c>
      <c r="R67" s="92">
        <f t="shared" ref="R67:R71" si="42">SUM(I67:P67)</f>
        <v>510297</v>
      </c>
    </row>
    <row r="68" spans="2:18" x14ac:dyDescent="0.25">
      <c r="B68" s="315"/>
      <c r="C68" s="10" t="s">
        <v>58</v>
      </c>
      <c r="D68" s="89">
        <v>311</v>
      </c>
      <c r="E68" s="89">
        <v>464</v>
      </c>
      <c r="F68" s="89">
        <v>533</v>
      </c>
      <c r="G68" s="89">
        <v>551</v>
      </c>
      <c r="H68" s="10" t="s">
        <v>45</v>
      </c>
      <c r="I68" s="89">
        <v>372</v>
      </c>
      <c r="J68" s="89">
        <v>48002</v>
      </c>
      <c r="K68" s="89">
        <v>53217</v>
      </c>
      <c r="L68" s="89">
        <v>57091</v>
      </c>
      <c r="M68" s="89">
        <v>59406</v>
      </c>
      <c r="N68" s="89">
        <v>52836</v>
      </c>
      <c r="O68" s="89">
        <v>43995</v>
      </c>
      <c r="P68" s="89">
        <v>49630</v>
      </c>
      <c r="Q68" s="92">
        <f t="shared" si="41"/>
        <v>1859</v>
      </c>
      <c r="R68" s="92">
        <f t="shared" si="42"/>
        <v>364549</v>
      </c>
    </row>
    <row r="69" spans="2:18" x14ac:dyDescent="0.25">
      <c r="B69" s="315"/>
      <c r="C69" s="10" t="s">
        <v>59</v>
      </c>
      <c r="D69" s="89">
        <v>0</v>
      </c>
      <c r="E69" s="89">
        <v>0</v>
      </c>
      <c r="F69" s="89">
        <v>46</v>
      </c>
      <c r="G69" s="89">
        <v>21</v>
      </c>
      <c r="H69" s="10" t="s">
        <v>47</v>
      </c>
      <c r="I69" s="89">
        <v>104</v>
      </c>
      <c r="J69" s="89">
        <v>17155</v>
      </c>
      <c r="K69" s="89">
        <v>20558</v>
      </c>
      <c r="L69" s="89">
        <v>23153</v>
      </c>
      <c r="M69" s="89">
        <v>25983</v>
      </c>
      <c r="N69" s="89">
        <v>26339</v>
      </c>
      <c r="O69" s="89">
        <v>18853</v>
      </c>
      <c r="P69" s="89">
        <v>23018</v>
      </c>
      <c r="Q69" s="92">
        <f t="shared" si="41"/>
        <v>67</v>
      </c>
      <c r="R69" s="92">
        <f t="shared" si="42"/>
        <v>155163</v>
      </c>
    </row>
    <row r="70" spans="2:18" x14ac:dyDescent="0.25">
      <c r="B70" s="315"/>
      <c r="C70" s="10" t="s">
        <v>60</v>
      </c>
      <c r="D70" s="89">
        <v>0</v>
      </c>
      <c r="E70" s="89">
        <v>0</v>
      </c>
      <c r="F70" s="89"/>
      <c r="G70" s="89">
        <v>0</v>
      </c>
      <c r="H70" s="142" t="s">
        <v>49</v>
      </c>
      <c r="I70" s="89">
        <v>0</v>
      </c>
      <c r="J70" s="89">
        <v>3634</v>
      </c>
      <c r="K70" s="89">
        <v>5264</v>
      </c>
      <c r="L70" s="89">
        <v>5356</v>
      </c>
      <c r="M70" s="89">
        <v>5828</v>
      </c>
      <c r="N70" s="89">
        <v>6619</v>
      </c>
      <c r="O70" s="89">
        <v>4548</v>
      </c>
      <c r="P70" s="89">
        <v>5641</v>
      </c>
      <c r="Q70" s="92">
        <f t="shared" si="41"/>
        <v>0</v>
      </c>
      <c r="R70" s="92">
        <f t="shared" si="42"/>
        <v>36890</v>
      </c>
    </row>
    <row r="71" spans="2:18" x14ac:dyDescent="0.25">
      <c r="B71" s="315"/>
      <c r="C71" s="10" t="s">
        <v>61</v>
      </c>
      <c r="D71" s="89">
        <v>0</v>
      </c>
      <c r="E71" s="89">
        <v>0</v>
      </c>
      <c r="F71" s="89">
        <v>0</v>
      </c>
      <c r="G71" s="89">
        <v>0</v>
      </c>
      <c r="H71" s="148" t="s">
        <v>51</v>
      </c>
      <c r="I71" s="89">
        <v>0</v>
      </c>
      <c r="J71" s="89">
        <v>4201</v>
      </c>
      <c r="K71" s="89">
        <v>3435</v>
      </c>
      <c r="L71" s="89">
        <v>3671</v>
      </c>
      <c r="M71" s="89">
        <v>3740</v>
      </c>
      <c r="N71" s="89">
        <v>3536</v>
      </c>
      <c r="O71" s="89">
        <v>4433</v>
      </c>
      <c r="P71" s="89">
        <v>4404</v>
      </c>
      <c r="Q71" s="92">
        <f t="shared" si="41"/>
        <v>0</v>
      </c>
      <c r="R71" s="92">
        <f t="shared" si="42"/>
        <v>27420</v>
      </c>
    </row>
    <row r="72" spans="2:18" x14ac:dyDescent="0.25">
      <c r="B72" s="315"/>
      <c r="C72" s="10" t="s">
        <v>62</v>
      </c>
      <c r="D72" s="89">
        <v>0</v>
      </c>
      <c r="E72" s="89">
        <v>0</v>
      </c>
      <c r="F72" s="89">
        <v>0</v>
      </c>
      <c r="G72" s="89">
        <v>0</v>
      </c>
      <c r="I72" s="89"/>
      <c r="J72" s="89"/>
      <c r="K72" s="89"/>
      <c r="L72" s="89"/>
      <c r="M72" s="89"/>
      <c r="N72" s="89"/>
      <c r="O72" s="89"/>
      <c r="P72" s="89"/>
      <c r="Q72" s="92">
        <f t="shared" si="41"/>
        <v>0</v>
      </c>
      <c r="R72" s="151"/>
    </row>
    <row r="73" spans="2:18" x14ac:dyDescent="0.25">
      <c r="B73" s="315"/>
      <c r="C73" s="10" t="s">
        <v>53</v>
      </c>
      <c r="D73" s="89">
        <v>701</v>
      </c>
      <c r="E73" s="89">
        <v>0</v>
      </c>
      <c r="F73" s="89">
        <v>0</v>
      </c>
      <c r="G73" s="89">
        <v>0</v>
      </c>
      <c r="I73" s="89"/>
      <c r="J73" s="89"/>
      <c r="K73" s="89"/>
      <c r="L73" s="89"/>
      <c r="M73" s="89"/>
      <c r="N73" s="89"/>
      <c r="O73" s="89"/>
      <c r="P73" s="89"/>
      <c r="Q73" s="92">
        <f t="shared" si="41"/>
        <v>701</v>
      </c>
      <c r="R73" s="151"/>
    </row>
    <row r="74" spans="2:18" x14ac:dyDescent="0.25">
      <c r="B74" s="307" t="s">
        <v>54</v>
      </c>
      <c r="C74" s="307"/>
      <c r="D74" s="11">
        <f>SUM(D66:D73)</f>
        <v>3624</v>
      </c>
      <c r="E74" s="11">
        <f t="shared" ref="E74:G74" si="43">SUM(E66:E73)</f>
        <v>3579</v>
      </c>
      <c r="F74" s="11">
        <f t="shared" si="43"/>
        <v>3660</v>
      </c>
      <c r="G74" s="11">
        <f t="shared" si="43"/>
        <v>3755</v>
      </c>
      <c r="H74" s="154" t="s">
        <v>36</v>
      </c>
      <c r="I74" s="11">
        <f t="shared" ref="I74:R74" si="44">SUM(I66:I73)</f>
        <v>3731</v>
      </c>
      <c r="J74" s="11">
        <f t="shared" si="44"/>
        <v>182592</v>
      </c>
      <c r="K74" s="11">
        <f t="shared" si="44"/>
        <v>190749</v>
      </c>
      <c r="L74" s="11">
        <f t="shared" si="44"/>
        <v>201001</v>
      </c>
      <c r="M74" s="11">
        <f t="shared" si="44"/>
        <v>200992</v>
      </c>
      <c r="N74" s="11">
        <f t="shared" si="44"/>
        <v>176590</v>
      </c>
      <c r="O74" s="11">
        <f t="shared" si="44"/>
        <v>161569</v>
      </c>
      <c r="P74" s="11">
        <f t="shared" si="44"/>
        <v>171031</v>
      </c>
      <c r="Q74" s="93">
        <f t="shared" si="44"/>
        <v>14618</v>
      </c>
      <c r="R74" s="93">
        <f t="shared" si="44"/>
        <v>1288255</v>
      </c>
    </row>
    <row r="75" spans="2:18" x14ac:dyDescent="0.25">
      <c r="B75" s="316" t="s">
        <v>63</v>
      </c>
      <c r="C75" s="10" t="s">
        <v>64</v>
      </c>
      <c r="D75" s="89">
        <v>314931</v>
      </c>
      <c r="E75" s="89">
        <v>318171</v>
      </c>
      <c r="F75" s="89">
        <v>319662</v>
      </c>
      <c r="G75" s="89">
        <v>353995</v>
      </c>
      <c r="H75" s="10" t="s">
        <v>41</v>
      </c>
      <c r="I75" s="89">
        <v>361813</v>
      </c>
      <c r="J75" s="89">
        <f>35765+37187</f>
        <v>72952</v>
      </c>
      <c r="K75" s="89">
        <f>36112+39208</f>
        <v>75320</v>
      </c>
      <c r="L75" s="89">
        <f>35559+40763</f>
        <v>76322</v>
      </c>
      <c r="M75" s="89">
        <f>36233+40466</f>
        <v>76699</v>
      </c>
      <c r="N75" s="89">
        <f>35246+40870</f>
        <v>76116</v>
      </c>
      <c r="O75" s="89">
        <f>37010+41883</f>
        <v>78893</v>
      </c>
      <c r="P75" s="89">
        <f>36320+40436</f>
        <v>76756</v>
      </c>
      <c r="Q75" s="92">
        <f t="shared" ref="Q75:Q76" si="45">SUM(D75:G75)</f>
        <v>1306759</v>
      </c>
      <c r="R75" s="92">
        <f>SUM(I75:P75)</f>
        <v>894871</v>
      </c>
    </row>
    <row r="76" spans="2:18" x14ac:dyDescent="0.25">
      <c r="B76" s="316"/>
      <c r="C76" s="10" t="s">
        <v>65</v>
      </c>
      <c r="D76" s="89">
        <f>58125+79107+48471+58091+43108+48431+539470</f>
        <v>874803</v>
      </c>
      <c r="E76" s="89">
        <f>61465+85327+53119+60309+51603+54854+610566</f>
        <v>977243</v>
      </c>
      <c r="F76" s="89">
        <f>61988+81610+53104+59282+52390+52055+609509</f>
        <v>969938</v>
      </c>
      <c r="G76" s="89">
        <f>50305+66417+42694+45704+35271+36496+381724</f>
        <v>658611</v>
      </c>
      <c r="H76" s="157" t="s">
        <v>66</v>
      </c>
      <c r="I76" s="89">
        <f>48890+62177+35838+42280+34199</f>
        <v>223384</v>
      </c>
      <c r="J76" s="89">
        <f>40092+177275+434079</f>
        <v>651446</v>
      </c>
      <c r="K76" s="89">
        <f>41645+191519+478680</f>
        <v>711844</v>
      </c>
      <c r="L76" s="89">
        <f>44081+212023+568498</f>
        <v>824602</v>
      </c>
      <c r="M76" s="89">
        <f>45179+215061+588626</f>
        <v>848866</v>
      </c>
      <c r="N76" s="89">
        <f>44815+226697+629303</f>
        <v>900815</v>
      </c>
      <c r="O76" s="89">
        <f>44150+217268+611567</f>
        <v>872985</v>
      </c>
      <c r="P76" s="89">
        <f>44340+224824+646496</f>
        <v>915660</v>
      </c>
      <c r="Q76" s="92">
        <f t="shared" si="45"/>
        <v>3480595</v>
      </c>
      <c r="R76" s="92">
        <f t="shared" ref="R76" si="46">SUM(I76:P76)</f>
        <v>5949602</v>
      </c>
    </row>
    <row r="77" spans="2:18" x14ac:dyDescent="0.25">
      <c r="B77" s="307" t="s">
        <v>54</v>
      </c>
      <c r="C77" s="307"/>
      <c r="D77" s="11">
        <f>SUM(D75:D76)</f>
        <v>1189734</v>
      </c>
      <c r="E77" s="11">
        <f t="shared" ref="E77:G77" si="47">SUM(E75:E76)</f>
        <v>1295414</v>
      </c>
      <c r="F77" s="11">
        <f t="shared" si="47"/>
        <v>1289600</v>
      </c>
      <c r="G77" s="11">
        <f t="shared" si="47"/>
        <v>1012606</v>
      </c>
      <c r="H77" s="155" t="s">
        <v>36</v>
      </c>
      <c r="I77" s="11">
        <f t="shared" ref="I77:P77" si="48">SUM(I75:I76)</f>
        <v>585197</v>
      </c>
      <c r="J77" s="11">
        <f t="shared" si="48"/>
        <v>724398</v>
      </c>
      <c r="K77" s="11">
        <f t="shared" si="48"/>
        <v>787164</v>
      </c>
      <c r="L77" s="11">
        <f t="shared" si="48"/>
        <v>900924</v>
      </c>
      <c r="M77" s="11">
        <f t="shared" si="48"/>
        <v>925565</v>
      </c>
      <c r="N77" s="11">
        <f t="shared" si="48"/>
        <v>976931</v>
      </c>
      <c r="O77" s="11">
        <f t="shared" si="48"/>
        <v>951878</v>
      </c>
      <c r="P77" s="11">
        <f t="shared" si="48"/>
        <v>992416</v>
      </c>
      <c r="Q77" s="11">
        <f>Q75+Q76</f>
        <v>4787354</v>
      </c>
      <c r="R77" s="93">
        <f>SUM(R75:R76)</f>
        <v>6844473</v>
      </c>
    </row>
    <row r="78" spans="2:18" x14ac:dyDescent="0.25">
      <c r="B78" s="316" t="s">
        <v>67</v>
      </c>
      <c r="C78" s="10" t="s">
        <v>64</v>
      </c>
      <c r="D78" s="89">
        <v>4713</v>
      </c>
      <c r="E78" s="89">
        <v>3361</v>
      </c>
      <c r="F78" s="89">
        <v>3276</v>
      </c>
      <c r="G78" s="89">
        <v>3736</v>
      </c>
      <c r="H78" s="10" t="s">
        <v>41</v>
      </c>
      <c r="I78" s="89">
        <v>3690</v>
      </c>
      <c r="J78" s="89">
        <f>315+464</f>
        <v>779</v>
      </c>
      <c r="K78" s="89">
        <f>307+478</f>
        <v>785</v>
      </c>
      <c r="L78" s="89">
        <f>250+467</f>
        <v>717</v>
      </c>
      <c r="M78" s="89">
        <f>274+466</f>
        <v>740</v>
      </c>
      <c r="N78" s="89">
        <f>250+507</f>
        <v>757</v>
      </c>
      <c r="O78" s="89">
        <f>285+406</f>
        <v>691</v>
      </c>
      <c r="P78" s="89">
        <f>267+491</f>
        <v>758</v>
      </c>
      <c r="Q78" s="92">
        <f t="shared" ref="Q78:Q79" si="49">SUM(D78:G78)</f>
        <v>15086</v>
      </c>
      <c r="R78" s="92">
        <f t="shared" ref="R78:R79" si="50">SUM(I78:P78)</f>
        <v>8917</v>
      </c>
    </row>
    <row r="79" spans="2:18" x14ac:dyDescent="0.25">
      <c r="B79" s="316"/>
      <c r="C79" s="10" t="s">
        <v>65</v>
      </c>
      <c r="D79" s="89">
        <f>898+1630+1874+3120+1777+1666+18972</f>
        <v>29937</v>
      </c>
      <c r="E79" s="89">
        <f>1140+2067+1498+2443+1816+1906+17645</f>
        <v>28515</v>
      </c>
      <c r="F79" s="89">
        <f>1171+1930+1623+2415+2209+1449+18688</f>
        <v>29485</v>
      </c>
      <c r="G79" s="89">
        <f>979+1506+1434+2467+2008+1991+16256</f>
        <v>26641</v>
      </c>
      <c r="H79" s="157" t="s">
        <v>66</v>
      </c>
      <c r="I79" s="89">
        <f>1111+1855+1659+1885+1717</f>
        <v>8227</v>
      </c>
      <c r="J79" s="89">
        <f>702+5395+19644</f>
        <v>25741</v>
      </c>
      <c r="K79" s="89">
        <f>756+5271+21057</f>
        <v>27084</v>
      </c>
      <c r="L79" s="89">
        <f>728+5581+27367</f>
        <v>33676</v>
      </c>
      <c r="M79" s="89">
        <f>827+5563+28919</f>
        <v>35309</v>
      </c>
      <c r="N79" s="89">
        <f>644+5887+32470</f>
        <v>39001</v>
      </c>
      <c r="O79" s="89">
        <f>754+5761+27793</f>
        <v>34308</v>
      </c>
      <c r="P79" s="89">
        <f>656+5681+25687</f>
        <v>32024</v>
      </c>
      <c r="Q79" s="92">
        <f t="shared" si="49"/>
        <v>114578</v>
      </c>
      <c r="R79" s="92">
        <f t="shared" si="50"/>
        <v>235370</v>
      </c>
    </row>
    <row r="80" spans="2:18" x14ac:dyDescent="0.25">
      <c r="B80" s="307" t="s">
        <v>54</v>
      </c>
      <c r="C80" s="307"/>
      <c r="D80" s="11">
        <f>SUM(D78:D79)</f>
        <v>34650</v>
      </c>
      <c r="E80" s="11">
        <f t="shared" ref="E80:G80" si="51">SUM(E78:E79)</f>
        <v>31876</v>
      </c>
      <c r="F80" s="11">
        <f t="shared" si="51"/>
        <v>32761</v>
      </c>
      <c r="G80" s="11">
        <f t="shared" si="51"/>
        <v>30377</v>
      </c>
      <c r="H80" s="155" t="s">
        <v>36</v>
      </c>
      <c r="I80" s="11">
        <f t="shared" ref="I80:P80" si="52">SUM(I78:I79)</f>
        <v>11917</v>
      </c>
      <c r="J80" s="11">
        <f t="shared" si="52"/>
        <v>26520</v>
      </c>
      <c r="K80" s="11">
        <f t="shared" si="52"/>
        <v>27869</v>
      </c>
      <c r="L80" s="11">
        <f t="shared" si="52"/>
        <v>34393</v>
      </c>
      <c r="M80" s="11">
        <f t="shared" si="52"/>
        <v>36049</v>
      </c>
      <c r="N80" s="11">
        <f t="shared" si="52"/>
        <v>39758</v>
      </c>
      <c r="O80" s="11">
        <f t="shared" si="52"/>
        <v>34999</v>
      </c>
      <c r="P80" s="11">
        <f t="shared" si="52"/>
        <v>32782</v>
      </c>
      <c r="Q80" s="11">
        <f t="shared" ref="Q80" si="53">Q78+Q79</f>
        <v>129664</v>
      </c>
      <c r="R80" s="93">
        <f t="shared" ref="R80" si="54">SUM(R78:R79)</f>
        <v>244287</v>
      </c>
    </row>
    <row r="81" spans="2:19" x14ac:dyDescent="0.25">
      <c r="B81" s="316" t="s">
        <v>68</v>
      </c>
      <c r="C81" s="10" t="s">
        <v>64</v>
      </c>
      <c r="D81" s="89">
        <v>8587</v>
      </c>
      <c r="E81" s="89">
        <v>5557</v>
      </c>
      <c r="F81" s="89">
        <v>5971</v>
      </c>
      <c r="G81" s="89">
        <v>5731</v>
      </c>
      <c r="H81" s="10" t="s">
        <v>41</v>
      </c>
      <c r="I81" s="89">
        <v>7949</v>
      </c>
      <c r="J81" s="89">
        <f>518+824</f>
        <v>1342</v>
      </c>
      <c r="K81" s="89">
        <f>487+717</f>
        <v>1204</v>
      </c>
      <c r="L81" s="89">
        <f>423+683</f>
        <v>1106</v>
      </c>
      <c r="M81" s="89">
        <f>448+652</f>
        <v>1100</v>
      </c>
      <c r="N81" s="89">
        <f>437+569</f>
        <v>1006</v>
      </c>
      <c r="O81" s="89">
        <f>446+644</f>
        <v>1090</v>
      </c>
      <c r="P81" s="89">
        <f>527+812</f>
        <v>1339</v>
      </c>
      <c r="Q81" s="92">
        <f t="shared" ref="Q81:Q82" si="55">SUM(D81:G81)</f>
        <v>25846</v>
      </c>
      <c r="R81" s="92">
        <f t="shared" ref="R81:R82" si="56">SUM(I81:P81)</f>
        <v>16136</v>
      </c>
    </row>
    <row r="82" spans="2:19" x14ac:dyDescent="0.25">
      <c r="B82" s="316"/>
      <c r="C82" s="10" t="s">
        <v>65</v>
      </c>
      <c r="D82" s="89">
        <f>1711+3888+3518+9680+12811+17056+644223</f>
        <v>692887</v>
      </c>
      <c r="E82" s="89">
        <f>1633+5801+5410+8009+12267+18546+660670</f>
        <v>712336</v>
      </c>
      <c r="F82" s="89">
        <f>1430+5434+3611+8402+10107+20307+620305</f>
        <v>669596</v>
      </c>
      <c r="G82" s="89">
        <f>4269+3431+4618+7804+12749+17220+604806</f>
        <v>654897</v>
      </c>
      <c r="H82" s="157" t="s">
        <v>66</v>
      </c>
      <c r="I82" s="89">
        <f>1830+4390+7358+9697+9241</f>
        <v>32516</v>
      </c>
      <c r="J82" s="89">
        <f>1140+14618+501372</f>
        <v>517130</v>
      </c>
      <c r="K82" s="89">
        <f>982+16936+543232</f>
        <v>561150</v>
      </c>
      <c r="L82" s="89">
        <f>862+15383+606191</f>
        <v>622436</v>
      </c>
      <c r="M82" s="89">
        <f>832+12921+607023</f>
        <v>620776</v>
      </c>
      <c r="N82" s="89">
        <f>805+13230+628681</f>
        <v>642716</v>
      </c>
      <c r="O82" s="89">
        <f>735+16173+655795</f>
        <v>672703</v>
      </c>
      <c r="P82" s="89">
        <f>957+14000+555099</f>
        <v>570056</v>
      </c>
      <c r="Q82" s="92">
        <f t="shared" si="55"/>
        <v>2729716</v>
      </c>
      <c r="R82" s="92">
        <f t="shared" si="56"/>
        <v>4239483</v>
      </c>
    </row>
    <row r="83" spans="2:19" x14ac:dyDescent="0.25">
      <c r="B83" s="307" t="s">
        <v>54</v>
      </c>
      <c r="C83" s="307"/>
      <c r="D83" s="11">
        <f>SUM(D81:D82)</f>
        <v>701474</v>
      </c>
      <c r="E83" s="11">
        <f t="shared" ref="E83:G83" si="57">SUM(E81:E82)</f>
        <v>717893</v>
      </c>
      <c r="F83" s="11">
        <f t="shared" si="57"/>
        <v>675567</v>
      </c>
      <c r="G83" s="11">
        <f t="shared" si="57"/>
        <v>660628</v>
      </c>
      <c r="H83" s="156"/>
      <c r="I83" s="11">
        <f t="shared" ref="I83:P83" si="58">SUM(I81:I82)</f>
        <v>40465</v>
      </c>
      <c r="J83" s="11">
        <f t="shared" si="58"/>
        <v>518472</v>
      </c>
      <c r="K83" s="11">
        <f t="shared" si="58"/>
        <v>562354</v>
      </c>
      <c r="L83" s="11">
        <f t="shared" si="58"/>
        <v>623542</v>
      </c>
      <c r="M83" s="11">
        <f t="shared" si="58"/>
        <v>621876</v>
      </c>
      <c r="N83" s="11">
        <f t="shared" si="58"/>
        <v>643722</v>
      </c>
      <c r="O83" s="11">
        <f t="shared" si="58"/>
        <v>673793</v>
      </c>
      <c r="P83" s="11">
        <f t="shared" si="58"/>
        <v>571395</v>
      </c>
      <c r="Q83" s="11">
        <f t="shared" ref="Q83" si="59">Q81+Q82</f>
        <v>2755562</v>
      </c>
      <c r="R83" s="93">
        <f t="shared" ref="R83" si="60">SUM(R81:R82)</f>
        <v>4255619</v>
      </c>
    </row>
    <row r="84" spans="2:19" x14ac:dyDescent="0.25">
      <c r="B84" s="317" t="s">
        <v>69</v>
      </c>
      <c r="C84" s="317"/>
      <c r="D84" s="12">
        <f>(D65+D74+D77+D80+D83)</f>
        <v>12518745</v>
      </c>
      <c r="E84" s="69">
        <f t="shared" ref="E84:G84" si="61">(E65+E74+E77+E80+E83)</f>
        <v>12779128</v>
      </c>
      <c r="F84" s="69">
        <f t="shared" si="61"/>
        <v>12997817</v>
      </c>
      <c r="G84" s="69">
        <f t="shared" si="61"/>
        <v>13190792</v>
      </c>
      <c r="I84" s="69">
        <f t="shared" ref="I84:P84" si="62">(I65+I74+I77+I80+I83)</f>
        <v>11685244</v>
      </c>
      <c r="J84" s="69">
        <f t="shared" si="62"/>
        <v>10517765</v>
      </c>
      <c r="K84" s="69">
        <f t="shared" si="62"/>
        <v>10918870</v>
      </c>
      <c r="L84" s="69">
        <f t="shared" si="62"/>
        <v>11319944</v>
      </c>
      <c r="M84" s="69">
        <f t="shared" si="62"/>
        <v>11520198</v>
      </c>
      <c r="N84" s="69">
        <f t="shared" si="62"/>
        <v>11808919</v>
      </c>
      <c r="O84" s="69">
        <f t="shared" si="62"/>
        <v>10996002</v>
      </c>
      <c r="P84" s="12">
        <f t="shared" si="62"/>
        <v>11207564</v>
      </c>
      <c r="Q84" s="175" t="s">
        <v>32</v>
      </c>
      <c r="R84" s="12">
        <f>Q65+Q74+Q77+Q80+Q83+R83+R80+R77+R74+R65</f>
        <v>141460988</v>
      </c>
    </row>
    <row r="85" spans="2:19" x14ac:dyDescent="0.25">
      <c r="C85" s="104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4"/>
      <c r="R85" s="104"/>
    </row>
    <row r="86" spans="2:19" customFormat="1" ht="14.4" x14ac:dyDescent="0.3">
      <c r="B86" s="299" t="s">
        <v>73</v>
      </c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</row>
    <row r="87" spans="2:19" customFormat="1" ht="14.4" x14ac:dyDescent="0.3">
      <c r="B87" s="8" t="s">
        <v>35</v>
      </c>
      <c r="C87" s="8" t="s">
        <v>36</v>
      </c>
      <c r="D87" s="9">
        <f>+D56</f>
        <v>43831</v>
      </c>
      <c r="E87" s="9">
        <f>+E56</f>
        <v>43862</v>
      </c>
      <c r="F87" s="9">
        <f>+F56</f>
        <v>43893</v>
      </c>
      <c r="G87" s="9">
        <f>+G56</f>
        <v>43924</v>
      </c>
      <c r="H87" s="8" t="s">
        <v>36</v>
      </c>
      <c r="I87" s="9">
        <f t="shared" ref="I87:P87" si="63">+I56</f>
        <v>43955</v>
      </c>
      <c r="J87" s="9">
        <f t="shared" si="63"/>
        <v>43986</v>
      </c>
      <c r="K87" s="9">
        <f t="shared" si="63"/>
        <v>44017</v>
      </c>
      <c r="L87" s="9">
        <f t="shared" si="63"/>
        <v>44048</v>
      </c>
      <c r="M87" s="9">
        <f t="shared" si="63"/>
        <v>44079</v>
      </c>
      <c r="N87" s="9">
        <f t="shared" si="63"/>
        <v>44110</v>
      </c>
      <c r="O87" s="9">
        <f t="shared" si="63"/>
        <v>44141</v>
      </c>
      <c r="P87" s="9">
        <f t="shared" si="63"/>
        <v>44172</v>
      </c>
      <c r="Q87" s="91" t="s">
        <v>37</v>
      </c>
      <c r="R87" s="91" t="s">
        <v>38</v>
      </c>
    </row>
    <row r="88" spans="2:19" customFormat="1" ht="14.4" x14ac:dyDescent="0.3">
      <c r="B88" s="315" t="s">
        <v>39</v>
      </c>
      <c r="C88" s="10" t="s">
        <v>40</v>
      </c>
      <c r="D88" s="70">
        <f t="shared" ref="D88:D95" si="64">+D23+D57</f>
        <v>10785823</v>
      </c>
      <c r="E88" s="70">
        <f t="shared" ref="E88:G95" si="65">+E57+E23</f>
        <v>11123282</v>
      </c>
      <c r="F88" s="70">
        <f t="shared" si="65"/>
        <v>10590238</v>
      </c>
      <c r="G88" s="70">
        <f t="shared" si="65"/>
        <v>9493674</v>
      </c>
      <c r="H88" s="10" t="s">
        <v>41</v>
      </c>
      <c r="I88" s="70">
        <f t="shared" ref="I88:P95" si="66">+I57+I23</f>
        <v>10294080</v>
      </c>
      <c r="J88" s="70">
        <f t="shared" si="66"/>
        <v>2672112</v>
      </c>
      <c r="K88" s="70">
        <f t="shared" si="66"/>
        <v>2610841</v>
      </c>
      <c r="L88" s="70">
        <f t="shared" si="66"/>
        <v>2542388</v>
      </c>
      <c r="M88" s="70">
        <f t="shared" si="66"/>
        <v>2525470</v>
      </c>
      <c r="N88" s="70">
        <f t="shared" si="66"/>
        <v>2474537</v>
      </c>
      <c r="O88" s="70">
        <f t="shared" si="66"/>
        <v>2877645</v>
      </c>
      <c r="P88" s="70">
        <f t="shared" si="66"/>
        <v>2751591</v>
      </c>
      <c r="Q88" s="92">
        <f>SUM(D88:G88)</f>
        <v>41993017</v>
      </c>
      <c r="R88" s="92">
        <f>SUM(I88:P88)</f>
        <v>28748664</v>
      </c>
    </row>
    <row r="89" spans="2:19" customFormat="1" ht="14.4" x14ac:dyDescent="0.3">
      <c r="B89" s="315"/>
      <c r="C89" s="10" t="s">
        <v>42</v>
      </c>
      <c r="D89" s="70">
        <f t="shared" si="64"/>
        <v>5847413</v>
      </c>
      <c r="E89" s="70">
        <f t="shared" si="65"/>
        <v>5821442</v>
      </c>
      <c r="F89" s="70">
        <f t="shared" si="65"/>
        <v>5980952</v>
      </c>
      <c r="G89" s="70">
        <f t="shared" si="65"/>
        <v>6501901</v>
      </c>
      <c r="H89" s="10" t="s">
        <v>43</v>
      </c>
      <c r="I89" s="70">
        <f t="shared" si="66"/>
        <v>6174111</v>
      </c>
      <c r="J89" s="70">
        <f t="shared" si="66"/>
        <v>7636415</v>
      </c>
      <c r="K89" s="70">
        <f t="shared" si="66"/>
        <v>7650141</v>
      </c>
      <c r="L89" s="70">
        <f t="shared" si="66"/>
        <v>7607891</v>
      </c>
      <c r="M89" s="70">
        <f t="shared" si="66"/>
        <v>7581491</v>
      </c>
      <c r="N89" s="70">
        <f t="shared" si="66"/>
        <v>7585009</v>
      </c>
      <c r="O89" s="70">
        <f t="shared" si="66"/>
        <v>7596859</v>
      </c>
      <c r="P89" s="70">
        <f t="shared" si="66"/>
        <v>7676604</v>
      </c>
      <c r="Q89" s="92">
        <f t="shared" ref="Q89:Q95" si="67">SUM(D89:G89)</f>
        <v>24151708</v>
      </c>
      <c r="R89" s="92">
        <f t="shared" ref="R89:R93" si="68">SUM(I89:P89)</f>
        <v>59508521</v>
      </c>
    </row>
    <row r="90" spans="2:19" customFormat="1" ht="14.4" x14ac:dyDescent="0.3">
      <c r="B90" s="315"/>
      <c r="C90" s="10" t="s">
        <v>44</v>
      </c>
      <c r="D90" s="70">
        <f t="shared" si="64"/>
        <v>4766948</v>
      </c>
      <c r="E90" s="70">
        <f t="shared" si="65"/>
        <v>4580199</v>
      </c>
      <c r="F90" s="70">
        <f t="shared" si="65"/>
        <v>5200108</v>
      </c>
      <c r="G90" s="70">
        <f t="shared" si="65"/>
        <v>6333841</v>
      </c>
      <c r="H90" s="10" t="s">
        <v>45</v>
      </c>
      <c r="I90" s="70">
        <f t="shared" si="66"/>
        <v>5560599</v>
      </c>
      <c r="J90" s="70">
        <f t="shared" si="66"/>
        <v>5408579</v>
      </c>
      <c r="K90" s="70">
        <f t="shared" si="66"/>
        <v>5638983</v>
      </c>
      <c r="L90" s="70">
        <f t="shared" si="66"/>
        <v>5846430</v>
      </c>
      <c r="M90" s="70">
        <f t="shared" si="66"/>
        <v>5982618</v>
      </c>
      <c r="N90" s="70">
        <f t="shared" si="66"/>
        <v>6390985</v>
      </c>
      <c r="O90" s="70">
        <f t="shared" si="66"/>
        <v>5517301</v>
      </c>
      <c r="P90" s="70">
        <f t="shared" si="66"/>
        <v>5688673</v>
      </c>
      <c r="Q90" s="92">
        <f t="shared" si="67"/>
        <v>20881096</v>
      </c>
      <c r="R90" s="92">
        <f t="shared" si="68"/>
        <v>46034168</v>
      </c>
    </row>
    <row r="91" spans="2:19" customFormat="1" ht="14.4" x14ac:dyDescent="0.3">
      <c r="B91" s="315"/>
      <c r="C91" s="10" t="s">
        <v>46</v>
      </c>
      <c r="D91" s="70">
        <f t="shared" si="64"/>
        <v>1099728</v>
      </c>
      <c r="E91" s="70">
        <f t="shared" si="65"/>
        <v>948127</v>
      </c>
      <c r="F91" s="70">
        <f t="shared" si="65"/>
        <v>1133299</v>
      </c>
      <c r="G91" s="70">
        <f t="shared" si="65"/>
        <v>1512960</v>
      </c>
      <c r="H91" s="10" t="s">
        <v>47</v>
      </c>
      <c r="I91" s="70">
        <f t="shared" si="66"/>
        <v>1245251</v>
      </c>
      <c r="J91" s="70">
        <f t="shared" si="66"/>
        <v>2448903</v>
      </c>
      <c r="K91" s="70">
        <f t="shared" si="66"/>
        <v>2740737</v>
      </c>
      <c r="L91" s="70">
        <f t="shared" si="66"/>
        <v>2980117</v>
      </c>
      <c r="M91" s="70">
        <f t="shared" si="66"/>
        <v>3117141</v>
      </c>
      <c r="N91" s="70">
        <f t="shared" si="66"/>
        <v>3245248</v>
      </c>
      <c r="O91" s="70">
        <f t="shared" si="66"/>
        <v>2525052</v>
      </c>
      <c r="P91" s="70">
        <f t="shared" si="66"/>
        <v>2747416</v>
      </c>
      <c r="Q91" s="92">
        <f t="shared" si="67"/>
        <v>4694114</v>
      </c>
      <c r="R91" s="92">
        <f t="shared" si="68"/>
        <v>21049865</v>
      </c>
      <c r="S91" s="204"/>
    </row>
    <row r="92" spans="2:19" customFormat="1" ht="14.4" x14ac:dyDescent="0.3">
      <c r="B92" s="315"/>
      <c r="C92" s="10" t="s">
        <v>48</v>
      </c>
      <c r="D92" s="70">
        <f t="shared" si="64"/>
        <v>490402</v>
      </c>
      <c r="E92" s="70">
        <f t="shared" si="65"/>
        <v>408236</v>
      </c>
      <c r="F92" s="70">
        <f t="shared" si="65"/>
        <v>481182</v>
      </c>
      <c r="G92" s="70">
        <f t="shared" si="65"/>
        <v>571994</v>
      </c>
      <c r="H92" s="142" t="s">
        <v>49</v>
      </c>
      <c r="I92" s="70">
        <f t="shared" si="66"/>
        <v>531515</v>
      </c>
      <c r="J92" s="70">
        <f t="shared" si="66"/>
        <v>915966</v>
      </c>
      <c r="K92" s="70">
        <f t="shared" si="66"/>
        <v>1025886</v>
      </c>
      <c r="L92" s="70">
        <f t="shared" si="66"/>
        <v>1121777</v>
      </c>
      <c r="M92" s="70">
        <f t="shared" si="66"/>
        <v>1184653</v>
      </c>
      <c r="N92" s="70">
        <f t="shared" si="66"/>
        <v>1217752</v>
      </c>
      <c r="O92" s="70">
        <f t="shared" si="66"/>
        <v>809585</v>
      </c>
      <c r="P92" s="70">
        <f t="shared" si="66"/>
        <v>940412</v>
      </c>
      <c r="Q92" s="92">
        <f t="shared" si="67"/>
        <v>1951814</v>
      </c>
      <c r="R92" s="92">
        <f t="shared" si="68"/>
        <v>7747546</v>
      </c>
      <c r="S92" s="204"/>
    </row>
    <row r="93" spans="2:19" customFormat="1" ht="14.4" x14ac:dyDescent="0.3">
      <c r="B93" s="315"/>
      <c r="C93" s="10" t="s">
        <v>50</v>
      </c>
      <c r="D93" s="70">
        <f t="shared" si="64"/>
        <v>195711</v>
      </c>
      <c r="E93" s="70">
        <f t="shared" si="65"/>
        <v>171993</v>
      </c>
      <c r="F93" s="70">
        <f t="shared" si="65"/>
        <v>198472</v>
      </c>
      <c r="G93" s="70">
        <f t="shared" si="65"/>
        <v>231245</v>
      </c>
      <c r="H93" s="148" t="s">
        <v>51</v>
      </c>
      <c r="I93" s="70">
        <f t="shared" si="66"/>
        <v>218811</v>
      </c>
      <c r="J93" s="70">
        <f t="shared" si="66"/>
        <v>791998</v>
      </c>
      <c r="K93" s="70">
        <f t="shared" si="66"/>
        <v>865691</v>
      </c>
      <c r="L93" s="70">
        <f t="shared" si="66"/>
        <v>931294</v>
      </c>
      <c r="M93" s="70">
        <f t="shared" si="66"/>
        <v>1010482</v>
      </c>
      <c r="N93" s="70">
        <f t="shared" si="66"/>
        <v>891131</v>
      </c>
      <c r="O93" s="70">
        <f t="shared" si="66"/>
        <v>592557</v>
      </c>
      <c r="P93" s="70">
        <f t="shared" si="66"/>
        <v>726952</v>
      </c>
      <c r="Q93" s="92">
        <f t="shared" si="67"/>
        <v>797421</v>
      </c>
      <c r="R93" s="92">
        <f t="shared" si="68"/>
        <v>6028916</v>
      </c>
      <c r="S93" s="204"/>
    </row>
    <row r="94" spans="2:19" customFormat="1" ht="14.4" x14ac:dyDescent="0.3">
      <c r="B94" s="315"/>
      <c r="C94" s="10" t="s">
        <v>52</v>
      </c>
      <c r="D94" s="70">
        <f t="shared" si="64"/>
        <v>100692</v>
      </c>
      <c r="E94" s="70">
        <f t="shared" si="65"/>
        <v>91458</v>
      </c>
      <c r="F94" s="70">
        <f t="shared" si="65"/>
        <v>97427</v>
      </c>
      <c r="G94" s="70">
        <f t="shared" si="65"/>
        <v>113434</v>
      </c>
      <c r="H94" s="144"/>
      <c r="I94" s="70">
        <f t="shared" si="66"/>
        <v>0</v>
      </c>
      <c r="J94" s="70">
        <f t="shared" si="66"/>
        <v>0</v>
      </c>
      <c r="K94" s="70">
        <f t="shared" si="66"/>
        <v>0</v>
      </c>
      <c r="L94" s="70">
        <f t="shared" si="66"/>
        <v>0</v>
      </c>
      <c r="M94" s="70">
        <f t="shared" si="66"/>
        <v>0</v>
      </c>
      <c r="N94" s="70">
        <f t="shared" si="66"/>
        <v>0</v>
      </c>
      <c r="O94" s="70">
        <f t="shared" si="66"/>
        <v>0</v>
      </c>
      <c r="P94" s="70">
        <f t="shared" si="66"/>
        <v>0</v>
      </c>
      <c r="Q94" s="92">
        <f t="shared" si="67"/>
        <v>403011</v>
      </c>
      <c r="R94" s="151"/>
      <c r="S94" s="204"/>
    </row>
    <row r="95" spans="2:19" customFormat="1" ht="14.4" x14ac:dyDescent="0.3">
      <c r="B95" s="315"/>
      <c r="C95" s="10" t="s">
        <v>53</v>
      </c>
      <c r="D95" s="70">
        <f t="shared" si="64"/>
        <v>269853</v>
      </c>
      <c r="E95" s="70">
        <f t="shared" si="65"/>
        <v>241304</v>
      </c>
      <c r="F95" s="70">
        <f t="shared" si="65"/>
        <v>286871</v>
      </c>
      <c r="G95" s="70">
        <f t="shared" si="65"/>
        <v>259294</v>
      </c>
      <c r="H95" s="144"/>
      <c r="I95" s="70">
        <f t="shared" si="66"/>
        <v>0</v>
      </c>
      <c r="J95" s="70">
        <f t="shared" si="66"/>
        <v>0</v>
      </c>
      <c r="K95" s="70">
        <f t="shared" si="66"/>
        <v>0</v>
      </c>
      <c r="L95" s="70">
        <f t="shared" si="66"/>
        <v>0</v>
      </c>
      <c r="M95" s="70">
        <f t="shared" si="66"/>
        <v>0</v>
      </c>
      <c r="N95" s="70">
        <f t="shared" si="66"/>
        <v>0</v>
      </c>
      <c r="O95" s="70">
        <f t="shared" si="66"/>
        <v>0</v>
      </c>
      <c r="P95" s="70">
        <f t="shared" si="66"/>
        <v>0</v>
      </c>
      <c r="Q95" s="92">
        <f t="shared" si="67"/>
        <v>1057322</v>
      </c>
      <c r="R95" s="151"/>
      <c r="S95" s="204"/>
    </row>
    <row r="96" spans="2:19" customFormat="1" ht="14.4" x14ac:dyDescent="0.3">
      <c r="B96" s="307" t="s">
        <v>54</v>
      </c>
      <c r="C96" s="307"/>
      <c r="D96" s="11">
        <f>SUM(D88:D95)</f>
        <v>23556570</v>
      </c>
      <c r="E96" s="11">
        <f t="shared" ref="E96:G96" si="69">SUM(E88:E95)</f>
        <v>23386041</v>
      </c>
      <c r="F96" s="11">
        <f t="shared" si="69"/>
        <v>23968549</v>
      </c>
      <c r="G96" s="11">
        <f t="shared" si="69"/>
        <v>25018343</v>
      </c>
      <c r="H96" s="8" t="s">
        <v>36</v>
      </c>
      <c r="I96" s="11">
        <f t="shared" ref="I96:R96" si="70">SUM(I88:I95)</f>
        <v>24024367</v>
      </c>
      <c r="J96" s="11">
        <f t="shared" si="70"/>
        <v>19873973</v>
      </c>
      <c r="K96" s="11">
        <f t="shared" si="70"/>
        <v>20532279</v>
      </c>
      <c r="L96" s="11">
        <f t="shared" si="70"/>
        <v>21029897</v>
      </c>
      <c r="M96" s="11">
        <f t="shared" si="70"/>
        <v>21401855</v>
      </c>
      <c r="N96" s="11">
        <f t="shared" si="70"/>
        <v>21804662</v>
      </c>
      <c r="O96" s="11">
        <f t="shared" si="70"/>
        <v>19918999</v>
      </c>
      <c r="P96" s="11">
        <f t="shared" si="70"/>
        <v>20531648</v>
      </c>
      <c r="Q96" s="93">
        <f t="shared" si="70"/>
        <v>95929503</v>
      </c>
      <c r="R96" s="93">
        <f t="shared" si="70"/>
        <v>169117680</v>
      </c>
    </row>
    <row r="97" spans="2:18" customFormat="1" ht="14.4" x14ac:dyDescent="0.3">
      <c r="B97" s="315" t="s">
        <v>55</v>
      </c>
      <c r="C97" s="10" t="s">
        <v>56</v>
      </c>
      <c r="D97" s="70">
        <f t="shared" ref="D97:G104" si="71">+D66+D32</f>
        <v>29380</v>
      </c>
      <c r="E97" s="70">
        <f t="shared" si="71"/>
        <v>29978</v>
      </c>
      <c r="F97" s="70">
        <f t="shared" si="71"/>
        <v>29572</v>
      </c>
      <c r="G97" s="70">
        <f t="shared" si="71"/>
        <v>29606</v>
      </c>
      <c r="H97" s="10" t="s">
        <v>41</v>
      </c>
      <c r="I97" s="70">
        <f t="shared" ref="I97:P104" si="72">+I66+I32</f>
        <v>29784</v>
      </c>
      <c r="J97" s="70">
        <f t="shared" si="72"/>
        <v>71557</v>
      </c>
      <c r="K97" s="70">
        <f t="shared" si="72"/>
        <v>67820</v>
      </c>
      <c r="L97" s="70">
        <f t="shared" si="72"/>
        <v>64737</v>
      </c>
      <c r="M97" s="70">
        <f t="shared" si="72"/>
        <v>55421</v>
      </c>
      <c r="N97" s="70">
        <f t="shared" si="72"/>
        <v>47828</v>
      </c>
      <c r="O97" s="70">
        <f t="shared" si="72"/>
        <v>60901</v>
      </c>
      <c r="P97" s="70">
        <f t="shared" si="72"/>
        <v>49757</v>
      </c>
      <c r="Q97" s="92">
        <f>SUM(D97:G97)</f>
        <v>118536</v>
      </c>
      <c r="R97" s="92">
        <f>SUM(I97:P97)</f>
        <v>447805</v>
      </c>
    </row>
    <row r="98" spans="2:18" customFormat="1" ht="14.4" x14ac:dyDescent="0.3">
      <c r="B98" s="315"/>
      <c r="C98" s="10" t="s">
        <v>57</v>
      </c>
      <c r="D98" s="70">
        <f t="shared" si="71"/>
        <v>1240</v>
      </c>
      <c r="E98" s="70">
        <f t="shared" si="71"/>
        <v>1396</v>
      </c>
      <c r="F98" s="70">
        <f t="shared" si="71"/>
        <v>1449</v>
      </c>
      <c r="G98" s="70">
        <f t="shared" si="71"/>
        <v>1593</v>
      </c>
      <c r="H98" s="10" t="s">
        <v>43</v>
      </c>
      <c r="I98" s="70">
        <f t="shared" si="72"/>
        <v>1492</v>
      </c>
      <c r="J98" s="70">
        <f t="shared" si="72"/>
        <v>172517</v>
      </c>
      <c r="K98" s="70">
        <f t="shared" si="72"/>
        <v>172860</v>
      </c>
      <c r="L98" s="70">
        <f t="shared" si="72"/>
        <v>181964</v>
      </c>
      <c r="M98" s="70">
        <f t="shared" si="72"/>
        <v>178337</v>
      </c>
      <c r="N98" s="70">
        <f t="shared" si="72"/>
        <v>144850</v>
      </c>
      <c r="O98" s="70">
        <f t="shared" si="72"/>
        <v>138463</v>
      </c>
      <c r="P98" s="70">
        <f t="shared" si="72"/>
        <v>145820</v>
      </c>
      <c r="Q98" s="92">
        <f t="shared" ref="Q98:Q104" si="73">SUM(D98:G98)</f>
        <v>5678</v>
      </c>
      <c r="R98" s="92">
        <f t="shared" ref="R98:R102" si="74">SUM(I98:P98)</f>
        <v>1136303</v>
      </c>
    </row>
    <row r="99" spans="2:18" customFormat="1" ht="14.4" x14ac:dyDescent="0.3">
      <c r="B99" s="315"/>
      <c r="C99" s="10" t="s">
        <v>58</v>
      </c>
      <c r="D99" s="70">
        <f t="shared" si="71"/>
        <v>1774</v>
      </c>
      <c r="E99" s="70">
        <f t="shared" si="71"/>
        <v>1571</v>
      </c>
      <c r="F99" s="70">
        <f t="shared" si="71"/>
        <v>2019</v>
      </c>
      <c r="G99" s="70">
        <f t="shared" si="71"/>
        <v>1968</v>
      </c>
      <c r="H99" s="10" t="s">
        <v>45</v>
      </c>
      <c r="I99" s="70">
        <f t="shared" si="72"/>
        <v>1775</v>
      </c>
      <c r="J99" s="70">
        <f t="shared" si="72"/>
        <v>112490</v>
      </c>
      <c r="K99" s="70">
        <f t="shared" si="72"/>
        <v>124664</v>
      </c>
      <c r="L99" s="70">
        <f t="shared" si="72"/>
        <v>133630</v>
      </c>
      <c r="M99" s="70">
        <f t="shared" si="72"/>
        <v>138447</v>
      </c>
      <c r="N99" s="70">
        <f t="shared" si="72"/>
        <v>122492</v>
      </c>
      <c r="O99" s="70">
        <f t="shared" si="72"/>
        <v>102197</v>
      </c>
      <c r="P99" s="70">
        <f t="shared" si="72"/>
        <v>114973</v>
      </c>
      <c r="Q99" s="92">
        <f t="shared" si="73"/>
        <v>7332</v>
      </c>
      <c r="R99" s="92">
        <f t="shared" si="74"/>
        <v>850668</v>
      </c>
    </row>
    <row r="100" spans="2:18" customFormat="1" ht="14.4" x14ac:dyDescent="0.3">
      <c r="B100" s="315"/>
      <c r="C100" s="10" t="s">
        <v>59</v>
      </c>
      <c r="D100" s="70">
        <f t="shared" si="71"/>
        <v>120</v>
      </c>
      <c r="E100" s="70">
        <f t="shared" si="71"/>
        <v>54</v>
      </c>
      <c r="F100" s="70">
        <f t="shared" si="71"/>
        <v>210</v>
      </c>
      <c r="G100" s="70">
        <f t="shared" si="71"/>
        <v>165</v>
      </c>
      <c r="H100" s="10" t="s">
        <v>47</v>
      </c>
      <c r="I100" s="70">
        <f t="shared" si="72"/>
        <v>314</v>
      </c>
      <c r="J100" s="70">
        <f t="shared" si="72"/>
        <v>42201</v>
      </c>
      <c r="K100" s="70">
        <f t="shared" si="72"/>
        <v>50592</v>
      </c>
      <c r="L100" s="70">
        <f t="shared" si="72"/>
        <v>57478</v>
      </c>
      <c r="M100" s="70">
        <f t="shared" si="72"/>
        <v>63794</v>
      </c>
      <c r="N100" s="70">
        <f t="shared" si="72"/>
        <v>64335</v>
      </c>
      <c r="O100" s="70">
        <f t="shared" si="72"/>
        <v>46054</v>
      </c>
      <c r="P100" s="70">
        <f t="shared" si="72"/>
        <v>55483</v>
      </c>
      <c r="Q100" s="92">
        <f t="shared" si="73"/>
        <v>549</v>
      </c>
      <c r="R100" s="92">
        <f t="shared" si="74"/>
        <v>380251</v>
      </c>
    </row>
    <row r="101" spans="2:18" customFormat="1" ht="14.4" x14ac:dyDescent="0.3">
      <c r="B101" s="315"/>
      <c r="C101" s="10" t="s">
        <v>60</v>
      </c>
      <c r="D101" s="70">
        <f t="shared" si="71"/>
        <v>121</v>
      </c>
      <c r="E101" s="70">
        <f t="shared" si="71"/>
        <v>0</v>
      </c>
      <c r="F101" s="70">
        <f t="shared" si="71"/>
        <v>83</v>
      </c>
      <c r="G101" s="70">
        <f t="shared" si="71"/>
        <v>88</v>
      </c>
      <c r="H101" s="142" t="s">
        <v>49</v>
      </c>
      <c r="I101" s="70">
        <f t="shared" si="72"/>
        <v>0</v>
      </c>
      <c r="J101" s="70">
        <f t="shared" si="72"/>
        <v>10403</v>
      </c>
      <c r="K101" s="70">
        <f t="shared" si="72"/>
        <v>13234</v>
      </c>
      <c r="L101" s="70">
        <f t="shared" si="72"/>
        <v>14587</v>
      </c>
      <c r="M101" s="70">
        <f t="shared" si="72"/>
        <v>15748</v>
      </c>
      <c r="N101" s="70">
        <f t="shared" si="72"/>
        <v>17750</v>
      </c>
      <c r="O101" s="70">
        <f t="shared" si="72"/>
        <v>11811</v>
      </c>
      <c r="P101" s="70">
        <f t="shared" si="72"/>
        <v>14448</v>
      </c>
      <c r="Q101" s="92">
        <f t="shared" si="73"/>
        <v>292</v>
      </c>
      <c r="R101" s="92">
        <f t="shared" si="74"/>
        <v>97981</v>
      </c>
    </row>
    <row r="102" spans="2:18" customFormat="1" ht="14.4" x14ac:dyDescent="0.3">
      <c r="B102" s="315"/>
      <c r="C102" s="10" t="s">
        <v>61</v>
      </c>
      <c r="D102" s="70">
        <f t="shared" si="71"/>
        <v>0</v>
      </c>
      <c r="E102" s="70">
        <f t="shared" si="71"/>
        <v>0</v>
      </c>
      <c r="F102" s="70">
        <f t="shared" si="71"/>
        <v>68</v>
      </c>
      <c r="G102" s="70">
        <f t="shared" si="71"/>
        <v>56</v>
      </c>
      <c r="H102" s="148" t="s">
        <v>51</v>
      </c>
      <c r="I102" s="70">
        <f t="shared" si="72"/>
        <v>0</v>
      </c>
      <c r="J102" s="70">
        <f t="shared" si="72"/>
        <v>10372</v>
      </c>
      <c r="K102" s="70">
        <f t="shared" si="72"/>
        <v>9687</v>
      </c>
      <c r="L102" s="70">
        <f t="shared" si="72"/>
        <v>10476</v>
      </c>
      <c r="M102" s="70">
        <f t="shared" si="72"/>
        <v>12354</v>
      </c>
      <c r="N102" s="70">
        <f t="shared" si="72"/>
        <v>10412</v>
      </c>
      <c r="O102" s="70">
        <f t="shared" si="72"/>
        <v>12004</v>
      </c>
      <c r="P102" s="70">
        <f t="shared" si="72"/>
        <v>11966</v>
      </c>
      <c r="Q102" s="92">
        <f t="shared" si="73"/>
        <v>124</v>
      </c>
      <c r="R102" s="92">
        <f t="shared" si="74"/>
        <v>77271</v>
      </c>
    </row>
    <row r="103" spans="2:18" customFormat="1" ht="14.4" x14ac:dyDescent="0.3">
      <c r="B103" s="315"/>
      <c r="C103" s="10" t="s">
        <v>62</v>
      </c>
      <c r="D103" s="70">
        <f t="shared" si="71"/>
        <v>0</v>
      </c>
      <c r="E103" s="70">
        <f t="shared" si="71"/>
        <v>0</v>
      </c>
      <c r="F103" s="70">
        <f t="shared" si="71"/>
        <v>100</v>
      </c>
      <c r="G103" s="70">
        <f t="shared" si="71"/>
        <v>0</v>
      </c>
      <c r="H103" s="1"/>
      <c r="I103" s="70">
        <f t="shared" si="72"/>
        <v>0</v>
      </c>
      <c r="J103" s="70">
        <f t="shared" si="72"/>
        <v>0</v>
      </c>
      <c r="K103" s="70">
        <f t="shared" si="72"/>
        <v>0</v>
      </c>
      <c r="L103" s="70">
        <f t="shared" si="72"/>
        <v>0</v>
      </c>
      <c r="M103" s="70">
        <f t="shared" si="72"/>
        <v>0</v>
      </c>
      <c r="N103" s="70">
        <f t="shared" si="72"/>
        <v>0</v>
      </c>
      <c r="O103" s="70">
        <f t="shared" si="72"/>
        <v>0</v>
      </c>
      <c r="P103" s="70">
        <f t="shared" si="72"/>
        <v>0</v>
      </c>
      <c r="Q103" s="92">
        <f t="shared" si="73"/>
        <v>100</v>
      </c>
      <c r="R103" s="151"/>
    </row>
    <row r="104" spans="2:18" customFormat="1" ht="14.4" x14ac:dyDescent="0.3">
      <c r="B104" s="315"/>
      <c r="C104" s="10" t="s">
        <v>53</v>
      </c>
      <c r="D104" s="70">
        <f t="shared" si="71"/>
        <v>701</v>
      </c>
      <c r="E104" s="70">
        <f t="shared" si="71"/>
        <v>0</v>
      </c>
      <c r="F104" s="70">
        <f t="shared" si="71"/>
        <v>0</v>
      </c>
      <c r="G104" s="70">
        <f t="shared" si="71"/>
        <v>0</v>
      </c>
      <c r="H104" s="1"/>
      <c r="I104" s="70">
        <f t="shared" si="72"/>
        <v>0</v>
      </c>
      <c r="J104" s="70">
        <f t="shared" si="72"/>
        <v>0</v>
      </c>
      <c r="K104" s="70">
        <f t="shared" si="72"/>
        <v>0</v>
      </c>
      <c r="L104" s="70">
        <f t="shared" si="72"/>
        <v>0</v>
      </c>
      <c r="M104" s="70">
        <f t="shared" si="72"/>
        <v>0</v>
      </c>
      <c r="N104" s="70">
        <f t="shared" si="72"/>
        <v>0</v>
      </c>
      <c r="O104" s="70">
        <f t="shared" si="72"/>
        <v>0</v>
      </c>
      <c r="P104" s="70">
        <f t="shared" si="72"/>
        <v>0</v>
      </c>
      <c r="Q104" s="92">
        <f t="shared" si="73"/>
        <v>701</v>
      </c>
      <c r="R104" s="151"/>
    </row>
    <row r="105" spans="2:18" customFormat="1" ht="14.4" x14ac:dyDescent="0.3">
      <c r="B105" s="307" t="s">
        <v>54</v>
      </c>
      <c r="C105" s="307"/>
      <c r="D105" s="11">
        <f>SUM(D97:D104)</f>
        <v>33336</v>
      </c>
      <c r="E105" s="11">
        <f t="shared" ref="E105:G105" si="75">SUM(E97:E104)</f>
        <v>32999</v>
      </c>
      <c r="F105" s="11">
        <f t="shared" si="75"/>
        <v>33501</v>
      </c>
      <c r="G105" s="11">
        <f t="shared" si="75"/>
        <v>33476</v>
      </c>
      <c r="H105" s="154" t="s">
        <v>36</v>
      </c>
      <c r="I105" s="11">
        <f t="shared" ref="I105:R105" si="76">SUM(I97:I104)</f>
        <v>33365</v>
      </c>
      <c r="J105" s="11">
        <f t="shared" si="76"/>
        <v>419540</v>
      </c>
      <c r="K105" s="11">
        <f t="shared" si="76"/>
        <v>438857</v>
      </c>
      <c r="L105" s="11">
        <f t="shared" si="76"/>
        <v>462872</v>
      </c>
      <c r="M105" s="11">
        <f t="shared" si="76"/>
        <v>464101</v>
      </c>
      <c r="N105" s="11">
        <f t="shared" si="76"/>
        <v>407667</v>
      </c>
      <c r="O105" s="11">
        <f t="shared" si="76"/>
        <v>371430</v>
      </c>
      <c r="P105" s="11">
        <f t="shared" si="76"/>
        <v>392447</v>
      </c>
      <c r="Q105" s="93">
        <f t="shared" si="76"/>
        <v>133312</v>
      </c>
      <c r="R105" s="93">
        <f t="shared" si="76"/>
        <v>2990279</v>
      </c>
    </row>
    <row r="106" spans="2:18" customFormat="1" ht="14.4" x14ac:dyDescent="0.3">
      <c r="B106" s="318" t="s">
        <v>63</v>
      </c>
      <c r="C106" s="14" t="s">
        <v>64</v>
      </c>
      <c r="D106" s="70">
        <f t="shared" ref="D106:G107" si="77">+D75+D41</f>
        <v>663911</v>
      </c>
      <c r="E106" s="70">
        <f t="shared" si="77"/>
        <v>665251</v>
      </c>
      <c r="F106" s="70">
        <f t="shared" si="77"/>
        <v>667762</v>
      </c>
      <c r="G106" s="70">
        <f t="shared" si="77"/>
        <v>738195</v>
      </c>
      <c r="H106" s="10" t="s">
        <v>41</v>
      </c>
      <c r="I106" s="70">
        <f t="shared" ref="I106:P107" si="78">+I75+I41</f>
        <v>754383</v>
      </c>
      <c r="J106" s="70">
        <f t="shared" si="78"/>
        <v>152325</v>
      </c>
      <c r="K106" s="70">
        <f t="shared" si="78"/>
        <v>156721</v>
      </c>
      <c r="L106" s="70">
        <f t="shared" si="78"/>
        <v>158453</v>
      </c>
      <c r="M106" s="70">
        <f t="shared" si="78"/>
        <v>158993</v>
      </c>
      <c r="N106" s="70">
        <f t="shared" si="78"/>
        <v>158109</v>
      </c>
      <c r="O106" s="70">
        <f t="shared" si="78"/>
        <v>163403</v>
      </c>
      <c r="P106" s="70">
        <f t="shared" si="78"/>
        <v>159117</v>
      </c>
      <c r="Q106" s="92">
        <f t="shared" ref="Q106:Q107" si="79">SUM(D106:G106)</f>
        <v>2735119</v>
      </c>
      <c r="R106" s="92">
        <f>SUM(I106:P106)</f>
        <v>1861504</v>
      </c>
    </row>
    <row r="107" spans="2:18" customFormat="1" ht="14.4" x14ac:dyDescent="0.3">
      <c r="B107" s="318"/>
      <c r="C107" s="14" t="s">
        <v>65</v>
      </c>
      <c r="D107" s="70">
        <f t="shared" si="77"/>
        <v>1837725</v>
      </c>
      <c r="E107" s="70">
        <f t="shared" si="77"/>
        <v>1996865</v>
      </c>
      <c r="F107" s="70">
        <f t="shared" si="77"/>
        <v>1975738</v>
      </c>
      <c r="G107" s="70">
        <f t="shared" si="77"/>
        <v>1349510</v>
      </c>
      <c r="H107" s="157" t="s">
        <v>66</v>
      </c>
      <c r="I107" s="70">
        <f t="shared" si="78"/>
        <v>474427</v>
      </c>
      <c r="J107" s="70">
        <f t="shared" si="78"/>
        <v>1352311</v>
      </c>
      <c r="K107" s="70">
        <f t="shared" si="78"/>
        <v>1474858</v>
      </c>
      <c r="L107" s="70">
        <f t="shared" si="78"/>
        <v>1708005</v>
      </c>
      <c r="M107" s="70">
        <f t="shared" si="78"/>
        <v>1756209</v>
      </c>
      <c r="N107" s="70">
        <f t="shared" si="78"/>
        <v>1856655</v>
      </c>
      <c r="O107" s="70">
        <f t="shared" si="78"/>
        <v>1791990</v>
      </c>
      <c r="P107" s="70">
        <f t="shared" si="78"/>
        <v>1881398</v>
      </c>
      <c r="Q107" s="92">
        <f t="shared" si="79"/>
        <v>7159838</v>
      </c>
      <c r="R107" s="92">
        <f t="shared" ref="R107" si="80">SUM(I107:P107)</f>
        <v>12295853</v>
      </c>
    </row>
    <row r="108" spans="2:18" customFormat="1" ht="14.4" x14ac:dyDescent="0.3">
      <c r="B108" s="307" t="s">
        <v>54</v>
      </c>
      <c r="C108" s="307"/>
      <c r="D108" s="11">
        <f>SUM(D106:D107)</f>
        <v>2501636</v>
      </c>
      <c r="E108" s="11">
        <f t="shared" ref="E108:G108" si="81">SUM(E106:E107)</f>
        <v>2662116</v>
      </c>
      <c r="F108" s="11">
        <f t="shared" si="81"/>
        <v>2643500</v>
      </c>
      <c r="G108" s="11">
        <f t="shared" si="81"/>
        <v>2087705</v>
      </c>
      <c r="H108" s="155" t="s">
        <v>36</v>
      </c>
      <c r="I108" s="11">
        <f t="shared" ref="I108:P108" si="82">SUM(I106:I107)</f>
        <v>1228810</v>
      </c>
      <c r="J108" s="11">
        <f t="shared" si="82"/>
        <v>1504636</v>
      </c>
      <c r="K108" s="11">
        <f t="shared" si="82"/>
        <v>1631579</v>
      </c>
      <c r="L108" s="11">
        <f t="shared" si="82"/>
        <v>1866458</v>
      </c>
      <c r="M108" s="11">
        <f t="shared" si="82"/>
        <v>1915202</v>
      </c>
      <c r="N108" s="11">
        <f t="shared" si="82"/>
        <v>2014764</v>
      </c>
      <c r="O108" s="11">
        <f t="shared" si="82"/>
        <v>1955393</v>
      </c>
      <c r="P108" s="11">
        <f t="shared" si="82"/>
        <v>2040515</v>
      </c>
      <c r="Q108" s="11">
        <f>Q106+Q107</f>
        <v>9894957</v>
      </c>
      <c r="R108" s="93">
        <f>SUM(R106:R107)</f>
        <v>14157357</v>
      </c>
    </row>
    <row r="109" spans="2:18" customFormat="1" ht="14.4" x14ac:dyDescent="0.3">
      <c r="B109" s="318" t="s">
        <v>67</v>
      </c>
      <c r="C109" s="14" t="s">
        <v>64</v>
      </c>
      <c r="D109" s="70">
        <f t="shared" ref="D109:G110" si="83">+D78+D44</f>
        <v>9133</v>
      </c>
      <c r="E109" s="70">
        <f t="shared" si="83"/>
        <v>7651</v>
      </c>
      <c r="F109" s="70">
        <f t="shared" si="83"/>
        <v>7476</v>
      </c>
      <c r="G109" s="70">
        <f t="shared" si="83"/>
        <v>8446</v>
      </c>
      <c r="H109" s="10" t="s">
        <v>41</v>
      </c>
      <c r="I109" s="70">
        <f t="shared" ref="I109:P110" si="84">+I78+I44</f>
        <v>8370</v>
      </c>
      <c r="J109" s="70">
        <f t="shared" si="84"/>
        <v>1744</v>
      </c>
      <c r="K109" s="70">
        <f t="shared" si="84"/>
        <v>1759</v>
      </c>
      <c r="L109" s="70">
        <f t="shared" si="84"/>
        <v>1599</v>
      </c>
      <c r="M109" s="70">
        <f t="shared" si="84"/>
        <v>1675</v>
      </c>
      <c r="N109" s="70">
        <f t="shared" si="84"/>
        <v>1690</v>
      </c>
      <c r="O109" s="70">
        <f t="shared" si="84"/>
        <v>1552</v>
      </c>
      <c r="P109" s="70">
        <f t="shared" si="84"/>
        <v>1672</v>
      </c>
      <c r="Q109" s="92">
        <f t="shared" ref="Q109:Q110" si="85">SUM(D109:G109)</f>
        <v>32706</v>
      </c>
      <c r="R109" s="92">
        <f t="shared" ref="R109:R110" si="86">SUM(I109:P109)</f>
        <v>20061</v>
      </c>
    </row>
    <row r="110" spans="2:18" customFormat="1" ht="14.4" x14ac:dyDescent="0.3">
      <c r="B110" s="318"/>
      <c r="C110" s="14" t="s">
        <v>65</v>
      </c>
      <c r="D110" s="70">
        <f t="shared" si="83"/>
        <v>74604</v>
      </c>
      <c r="E110" s="70">
        <f t="shared" si="83"/>
        <v>64951</v>
      </c>
      <c r="F110" s="70">
        <f t="shared" si="83"/>
        <v>66361</v>
      </c>
      <c r="G110" s="70">
        <f t="shared" si="83"/>
        <v>59532</v>
      </c>
      <c r="H110" s="157" t="s">
        <v>66</v>
      </c>
      <c r="I110" s="70">
        <f t="shared" si="84"/>
        <v>18852</v>
      </c>
      <c r="J110" s="70">
        <f t="shared" si="84"/>
        <v>59215</v>
      </c>
      <c r="K110" s="70">
        <f t="shared" si="84"/>
        <v>62548</v>
      </c>
      <c r="L110" s="70">
        <f t="shared" si="84"/>
        <v>76522</v>
      </c>
      <c r="M110" s="70">
        <f t="shared" si="84"/>
        <v>79075</v>
      </c>
      <c r="N110" s="70">
        <f t="shared" si="84"/>
        <v>90802</v>
      </c>
      <c r="O110" s="70">
        <f t="shared" si="84"/>
        <v>76136</v>
      </c>
      <c r="P110" s="70">
        <f t="shared" si="84"/>
        <v>72007</v>
      </c>
      <c r="Q110" s="92">
        <f t="shared" si="85"/>
        <v>265448</v>
      </c>
      <c r="R110" s="92">
        <f t="shared" si="86"/>
        <v>535157</v>
      </c>
    </row>
    <row r="111" spans="2:18" customFormat="1" ht="14.4" x14ac:dyDescent="0.3">
      <c r="B111" s="307" t="s">
        <v>54</v>
      </c>
      <c r="C111" s="307"/>
      <c r="D111" s="11">
        <f>SUM(D109:D110)</f>
        <v>83737</v>
      </c>
      <c r="E111" s="11">
        <f t="shared" ref="E111:G111" si="87">SUM(E109:E110)</f>
        <v>72602</v>
      </c>
      <c r="F111" s="11">
        <f t="shared" si="87"/>
        <v>73837</v>
      </c>
      <c r="G111" s="11">
        <f t="shared" si="87"/>
        <v>67978</v>
      </c>
      <c r="H111" s="155" t="s">
        <v>36</v>
      </c>
      <c r="I111" s="11">
        <f t="shared" ref="I111:P111" si="88">SUM(I109:I110)</f>
        <v>27222</v>
      </c>
      <c r="J111" s="11">
        <f t="shared" si="88"/>
        <v>60959</v>
      </c>
      <c r="K111" s="11">
        <f t="shared" si="88"/>
        <v>64307</v>
      </c>
      <c r="L111" s="11">
        <f t="shared" si="88"/>
        <v>78121</v>
      </c>
      <c r="M111" s="11">
        <f t="shared" si="88"/>
        <v>80750</v>
      </c>
      <c r="N111" s="11">
        <f t="shared" si="88"/>
        <v>92492</v>
      </c>
      <c r="O111" s="11">
        <f t="shared" si="88"/>
        <v>77688</v>
      </c>
      <c r="P111" s="11">
        <f t="shared" si="88"/>
        <v>73679</v>
      </c>
      <c r="Q111" s="11">
        <f t="shared" ref="Q111" si="89">Q109+Q110</f>
        <v>298154</v>
      </c>
      <c r="R111" s="93">
        <f t="shared" ref="R111" si="90">SUM(R109:R110)</f>
        <v>555218</v>
      </c>
    </row>
    <row r="112" spans="2:18" customFormat="1" ht="14.4" x14ac:dyDescent="0.3">
      <c r="B112" s="318" t="s">
        <v>68</v>
      </c>
      <c r="C112" s="14" t="s">
        <v>64</v>
      </c>
      <c r="D112" s="70">
        <f t="shared" ref="D112:G113" si="91">+D81+D47</f>
        <v>15227</v>
      </c>
      <c r="E112" s="70">
        <f t="shared" si="91"/>
        <v>12257</v>
      </c>
      <c r="F112" s="70">
        <f t="shared" si="91"/>
        <v>13111</v>
      </c>
      <c r="G112" s="70">
        <f t="shared" si="91"/>
        <v>12611</v>
      </c>
      <c r="H112" s="10" t="s">
        <v>41</v>
      </c>
      <c r="I112" s="70">
        <f t="shared" ref="I112:P113" si="92">+I81+I47</f>
        <v>17169</v>
      </c>
      <c r="J112" s="70">
        <f t="shared" si="92"/>
        <v>3000</v>
      </c>
      <c r="K112" s="70">
        <f t="shared" si="92"/>
        <v>2638</v>
      </c>
      <c r="L112" s="70">
        <f t="shared" si="92"/>
        <v>2473</v>
      </c>
      <c r="M112" s="70">
        <f t="shared" si="92"/>
        <v>2494</v>
      </c>
      <c r="N112" s="70">
        <f t="shared" si="92"/>
        <v>2276</v>
      </c>
      <c r="O112" s="70">
        <f t="shared" si="92"/>
        <v>2429</v>
      </c>
      <c r="P112" s="70">
        <f t="shared" si="92"/>
        <v>3007</v>
      </c>
      <c r="Q112" s="92">
        <f t="shared" ref="Q112:Q113" si="93">SUM(D112:G112)</f>
        <v>53206</v>
      </c>
      <c r="R112" s="92">
        <f t="shared" ref="R112:R113" si="94">SUM(I112:P112)</f>
        <v>35486</v>
      </c>
    </row>
    <row r="113" spans="2:18" customFormat="1" ht="14.4" x14ac:dyDescent="0.3">
      <c r="B113" s="318"/>
      <c r="C113" s="14" t="s">
        <v>65</v>
      </c>
      <c r="D113" s="70">
        <f t="shared" si="91"/>
        <v>1408244</v>
      </c>
      <c r="E113" s="70">
        <f t="shared" si="91"/>
        <v>1453191</v>
      </c>
      <c r="F113" s="70">
        <f t="shared" si="91"/>
        <v>1370986</v>
      </c>
      <c r="G113" s="70">
        <f t="shared" si="91"/>
        <v>1347597</v>
      </c>
      <c r="H113" s="157" t="s">
        <v>66</v>
      </c>
      <c r="I113" s="70">
        <f t="shared" si="92"/>
        <v>64853</v>
      </c>
      <c r="J113" s="70">
        <f t="shared" si="92"/>
        <v>1056891</v>
      </c>
      <c r="K113" s="70">
        <f t="shared" si="92"/>
        <v>1147244</v>
      </c>
      <c r="L113" s="70">
        <f t="shared" si="92"/>
        <v>1270864</v>
      </c>
      <c r="M113" s="70">
        <f t="shared" si="92"/>
        <v>1305420</v>
      </c>
      <c r="N113" s="70">
        <f t="shared" si="92"/>
        <v>1336431</v>
      </c>
      <c r="O113" s="70">
        <f t="shared" si="92"/>
        <v>1381058</v>
      </c>
      <c r="P113" s="70">
        <f t="shared" si="92"/>
        <v>1165897</v>
      </c>
      <c r="Q113" s="92">
        <f t="shared" si="93"/>
        <v>5580018</v>
      </c>
      <c r="R113" s="92">
        <f t="shared" si="94"/>
        <v>8728658</v>
      </c>
    </row>
    <row r="114" spans="2:18" customFormat="1" ht="14.4" x14ac:dyDescent="0.3">
      <c r="B114" s="307" t="s">
        <v>54</v>
      </c>
      <c r="C114" s="307"/>
      <c r="D114" s="11">
        <f>SUM(D112:D113)</f>
        <v>1423471</v>
      </c>
      <c r="E114" s="11">
        <f t="shared" ref="E114:G114" si="95">SUM(E112:E113)</f>
        <v>1465448</v>
      </c>
      <c r="F114" s="11">
        <f t="shared" si="95"/>
        <v>1384097</v>
      </c>
      <c r="G114" s="11">
        <f t="shared" si="95"/>
        <v>1360208</v>
      </c>
      <c r="H114" s="156"/>
      <c r="I114" s="11">
        <f t="shared" ref="I114:P114" si="96">SUM(I112:I113)</f>
        <v>82022</v>
      </c>
      <c r="J114" s="11">
        <f t="shared" si="96"/>
        <v>1059891</v>
      </c>
      <c r="K114" s="11">
        <f t="shared" si="96"/>
        <v>1149882</v>
      </c>
      <c r="L114" s="11">
        <f t="shared" si="96"/>
        <v>1273337</v>
      </c>
      <c r="M114" s="11">
        <f t="shared" si="96"/>
        <v>1307914</v>
      </c>
      <c r="N114" s="11">
        <f t="shared" si="96"/>
        <v>1338707</v>
      </c>
      <c r="O114" s="11">
        <f t="shared" si="96"/>
        <v>1383487</v>
      </c>
      <c r="P114" s="11">
        <f t="shared" si="96"/>
        <v>1168904</v>
      </c>
      <c r="Q114" s="11">
        <f t="shared" ref="Q114" si="97">Q112+Q113</f>
        <v>5633224</v>
      </c>
      <c r="R114" s="93">
        <f t="shared" ref="R114" si="98">SUM(R112:R113)</f>
        <v>8764144</v>
      </c>
    </row>
    <row r="115" spans="2:18" customFormat="1" ht="14.4" x14ac:dyDescent="0.3">
      <c r="B115" s="317" t="s">
        <v>69</v>
      </c>
      <c r="C115" s="317"/>
      <c r="D115" s="12">
        <f>D96+D105+D108+D111+D114</f>
        <v>27598750</v>
      </c>
      <c r="E115" s="12">
        <f t="shared" ref="E115:G115" si="99">E96+E105+E108+E111+E114</f>
        <v>27619206</v>
      </c>
      <c r="F115" s="12">
        <f t="shared" si="99"/>
        <v>28103484</v>
      </c>
      <c r="G115" s="12">
        <f t="shared" si="99"/>
        <v>28567710</v>
      </c>
      <c r="H115" s="1"/>
      <c r="I115" s="12">
        <f t="shared" ref="I115:P115" si="100">I96+I105+I108+I111+I114</f>
        <v>25395786</v>
      </c>
      <c r="J115" s="12">
        <f t="shared" si="100"/>
        <v>22918999</v>
      </c>
      <c r="K115" s="12">
        <f t="shared" si="100"/>
        <v>23816904</v>
      </c>
      <c r="L115" s="12">
        <f t="shared" si="100"/>
        <v>24710685</v>
      </c>
      <c r="M115" s="12">
        <f t="shared" si="100"/>
        <v>25169822</v>
      </c>
      <c r="N115" s="12">
        <f t="shared" si="100"/>
        <v>25658292</v>
      </c>
      <c r="O115" s="12">
        <f t="shared" si="100"/>
        <v>23706997</v>
      </c>
      <c r="P115" s="12">
        <f t="shared" si="100"/>
        <v>24207193</v>
      </c>
      <c r="Q115" s="175" t="s">
        <v>32</v>
      </c>
      <c r="R115" s="12">
        <f>SUM(D115:P115)</f>
        <v>307473828</v>
      </c>
    </row>
    <row r="116" spans="2:18" customFormat="1" ht="14.4" x14ac:dyDescent="0.3">
      <c r="B116" s="317" t="s">
        <v>71</v>
      </c>
      <c r="C116" s="317"/>
      <c r="D116" s="12">
        <f>D84+D52</f>
        <v>27642589</v>
      </c>
      <c r="E116" s="12">
        <f t="shared" ref="E116:P116" si="101">E84+E52</f>
        <v>27669131</v>
      </c>
      <c r="F116" s="12">
        <f t="shared" si="101"/>
        <v>28132660</v>
      </c>
      <c r="G116" s="12">
        <f t="shared" si="101"/>
        <v>28590713</v>
      </c>
      <c r="H116" s="1"/>
      <c r="I116" s="12">
        <f t="shared" si="101"/>
        <v>25395796</v>
      </c>
      <c r="J116" s="12">
        <f t="shared" si="101"/>
        <v>22944720</v>
      </c>
      <c r="K116" s="12">
        <f t="shared" si="101"/>
        <v>23850242</v>
      </c>
      <c r="L116" s="12">
        <f t="shared" si="101"/>
        <v>24745690</v>
      </c>
      <c r="M116" s="12">
        <f t="shared" si="101"/>
        <v>25169822</v>
      </c>
      <c r="N116" s="12">
        <f t="shared" si="101"/>
        <v>25732649</v>
      </c>
      <c r="O116" s="12">
        <f t="shared" si="101"/>
        <v>23809473</v>
      </c>
      <c r="P116" s="12">
        <f t="shared" si="101"/>
        <v>24247561</v>
      </c>
      <c r="Q116" s="175" t="s">
        <v>32</v>
      </c>
      <c r="R116" s="12">
        <f>SUM(D116:P116)</f>
        <v>307931046</v>
      </c>
    </row>
    <row r="117" spans="2:18" x14ac:dyDescent="0.25">
      <c r="P117" s="13"/>
    </row>
    <row r="118" spans="2:18" x14ac:dyDescent="0.25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2:18" x14ac:dyDescent="0.25">
      <c r="P119" s="13"/>
    </row>
  </sheetData>
  <mergeCells count="44">
    <mergeCell ref="B116:C116"/>
    <mergeCell ref="B109:B110"/>
    <mergeCell ref="B111:C111"/>
    <mergeCell ref="B112:B113"/>
    <mergeCell ref="B114:C114"/>
    <mergeCell ref="B115:C115"/>
    <mergeCell ref="B55:R55"/>
    <mergeCell ref="B51:C51"/>
    <mergeCell ref="B52:C52"/>
    <mergeCell ref="B57:B64"/>
    <mergeCell ref="B108:C108"/>
    <mergeCell ref="B78:B79"/>
    <mergeCell ref="B80:C80"/>
    <mergeCell ref="B81:B82"/>
    <mergeCell ref="B83:C83"/>
    <mergeCell ref="B84:C84"/>
    <mergeCell ref="B88:B95"/>
    <mergeCell ref="B96:C96"/>
    <mergeCell ref="B97:B104"/>
    <mergeCell ref="B105:C105"/>
    <mergeCell ref="B106:B107"/>
    <mergeCell ref="B86:R86"/>
    <mergeCell ref="B44:B45"/>
    <mergeCell ref="B46:C46"/>
    <mergeCell ref="B47:B48"/>
    <mergeCell ref="B49:C49"/>
    <mergeCell ref="B50:C50"/>
    <mergeCell ref="B77:C77"/>
    <mergeCell ref="B65:C65"/>
    <mergeCell ref="B66:B73"/>
    <mergeCell ref="B74:C74"/>
    <mergeCell ref="B75:B76"/>
    <mergeCell ref="B43:C43"/>
    <mergeCell ref="B8:P8"/>
    <mergeCell ref="B9:C9"/>
    <mergeCell ref="B10:C10"/>
    <mergeCell ref="B11:C11"/>
    <mergeCell ref="B12:C12"/>
    <mergeCell ref="B23:B30"/>
    <mergeCell ref="B31:C31"/>
    <mergeCell ref="B32:B39"/>
    <mergeCell ref="B40:C40"/>
    <mergeCell ref="B41:B42"/>
    <mergeCell ref="B21:R21"/>
  </mergeCells>
  <pageMargins left="0.511811024" right="0.511811024" top="0.78740157499999996" bottom="0.78740157499999996" header="0.31496062000000002" footer="0.31496062000000002"/>
  <pageSetup paperSize="9" scale="35" orientation="portrait" r:id="rId1"/>
  <ignoredErrors>
    <ignoredError sqref="E96:G96 D105:G105 D108:G108 D111:G111 E40:F41 E43:E44 E46:E47 E49:F49 Q31:Q49 R43 Q65:Q74 Q83 I96:R114" formula="1"/>
    <ignoredError sqref="D12" formulaRange="1"/>
    <ignoredError sqref="D42 D45 D48 D75:D81 D74:F74 D82:F82 E75:F81 G76:G83 G41:P49 J75:O83 I76:I82 P75:P82 R75:R76 R78:R82 D10:O11" unlockedFormula="1"/>
    <ignoredError sqref="E48 E45 E42 F48 F45 F46:F47 F42 F43:F44 Q75:Q82 R77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>
    <tabColor rgb="FF00B050"/>
  </sheetPr>
  <dimension ref="B3:P76"/>
  <sheetViews>
    <sheetView showGridLines="0" zoomScale="70" zoomScaleNormal="70" workbookViewId="0">
      <selection activeCell="J37" sqref="J37"/>
    </sheetView>
  </sheetViews>
  <sheetFormatPr defaultRowHeight="14.4" x14ac:dyDescent="0.3"/>
  <cols>
    <col min="2" max="2" width="28.44140625" bestFit="1" customWidth="1"/>
    <col min="3" max="3" width="20.5546875" customWidth="1"/>
    <col min="4" max="4" width="0.88671875" customWidth="1"/>
    <col min="5" max="5" width="27" bestFit="1" customWidth="1"/>
    <col min="6" max="6" width="19.44140625" customWidth="1"/>
    <col min="7" max="7" width="1.109375" customWidth="1"/>
    <col min="8" max="8" width="25.109375" bestFit="1" customWidth="1"/>
    <col min="10" max="10" width="54.88671875" customWidth="1"/>
    <col min="11" max="14" width="23" customWidth="1"/>
    <col min="15" max="15" width="15.109375" bestFit="1" customWidth="1"/>
    <col min="16" max="16" width="12.44140625" bestFit="1" customWidth="1"/>
  </cols>
  <sheetData>
    <row r="3" spans="2:15" ht="17.399999999999999" x14ac:dyDescent="0.3">
      <c r="E3" s="297" t="s">
        <v>74</v>
      </c>
      <c r="F3" s="297"/>
      <c r="G3" s="297"/>
      <c r="H3" s="297"/>
      <c r="I3" s="297"/>
      <c r="J3" s="297"/>
      <c r="K3" s="297"/>
    </row>
    <row r="6" spans="2:15" ht="18.75" customHeight="1" x14ac:dyDescent="0.3">
      <c r="B6" s="319" t="s">
        <v>75</v>
      </c>
      <c r="C6" s="320"/>
      <c r="D6" s="320"/>
      <c r="E6" s="320"/>
      <c r="F6" s="320"/>
      <c r="G6" s="320"/>
      <c r="H6" s="321"/>
      <c r="J6" s="319" t="s">
        <v>76</v>
      </c>
      <c r="K6" s="320"/>
      <c r="L6" s="320"/>
      <c r="M6" s="320"/>
      <c r="N6" s="320"/>
    </row>
    <row r="7" spans="2:15" ht="15.6" x14ac:dyDescent="0.3">
      <c r="B7" s="22" t="s">
        <v>77</v>
      </c>
      <c r="C7" s="22" t="s">
        <v>78</v>
      </c>
      <c r="D7" s="23"/>
      <c r="E7" s="22" t="s">
        <v>79</v>
      </c>
      <c r="F7" s="22" t="s">
        <v>78</v>
      </c>
      <c r="G7" s="23"/>
      <c r="H7" s="22" t="s">
        <v>80</v>
      </c>
      <c r="J7" s="22"/>
      <c r="K7" s="22" t="s">
        <v>39</v>
      </c>
      <c r="L7" s="22" t="s">
        <v>55</v>
      </c>
      <c r="M7" s="22" t="s">
        <v>63</v>
      </c>
      <c r="N7" s="22" t="s">
        <v>67</v>
      </c>
    </row>
    <row r="8" spans="2:15" ht="15.6" x14ac:dyDescent="0.3">
      <c r="B8" s="24">
        <v>43466</v>
      </c>
      <c r="C8" s="79">
        <v>3805344</v>
      </c>
      <c r="D8" s="25"/>
      <c r="E8" s="24">
        <v>43831</v>
      </c>
      <c r="F8" s="79">
        <v>2757209</v>
      </c>
      <c r="G8" s="26"/>
      <c r="H8" s="27">
        <f>IF(C8-F8&lt;=0,"",C8-F8)</f>
        <v>1048135</v>
      </c>
      <c r="J8" s="28" t="s">
        <v>81</v>
      </c>
      <c r="K8" s="110">
        <f>SUM(H8:H19)</f>
        <v>12772156</v>
      </c>
      <c r="L8" s="113">
        <f>SUM(H23:H34)</f>
        <v>156964</v>
      </c>
      <c r="M8" s="113">
        <f>SUM(H38:H49)</f>
        <v>3239398</v>
      </c>
      <c r="N8" s="113">
        <f>SUM(H53:H64)</f>
        <v>144969</v>
      </c>
    </row>
    <row r="9" spans="2:15" ht="15.6" x14ac:dyDescent="0.3">
      <c r="B9" s="24">
        <f>+B8+31</f>
        <v>43497</v>
      </c>
      <c r="C9" s="79">
        <v>5154922</v>
      </c>
      <c r="D9" s="25"/>
      <c r="E9" s="24">
        <f>+E8+31</f>
        <v>43862</v>
      </c>
      <c r="F9" s="79">
        <v>3787502</v>
      </c>
      <c r="G9" s="26"/>
      <c r="H9" s="27">
        <f t="shared" ref="H9:H19" si="0">IF(C9-F9&lt;=0,"",C9-F9)</f>
        <v>1367420</v>
      </c>
      <c r="J9" s="29" t="s">
        <v>82</v>
      </c>
      <c r="K9" s="111">
        <v>0.2</v>
      </c>
      <c r="L9" s="114">
        <v>0.2</v>
      </c>
      <c r="M9" s="114">
        <v>0.2</v>
      </c>
      <c r="N9" s="114">
        <v>0.2</v>
      </c>
    </row>
    <row r="10" spans="2:15" ht="15.6" x14ac:dyDescent="0.3">
      <c r="B10" s="24">
        <f t="shared" ref="B10:B19" si="1">+B9+31</f>
        <v>43528</v>
      </c>
      <c r="C10" s="79">
        <v>3949517</v>
      </c>
      <c r="D10" s="25"/>
      <c r="E10" s="24">
        <f t="shared" ref="E10:E19" si="2">+E9+31</f>
        <v>43893</v>
      </c>
      <c r="F10" s="79">
        <v>2918238</v>
      </c>
      <c r="G10" s="26"/>
      <c r="H10" s="27">
        <f t="shared" si="0"/>
        <v>1031279</v>
      </c>
      <c r="J10" s="29" t="s">
        <v>83</v>
      </c>
      <c r="K10" s="112">
        <f>K8*K9</f>
        <v>2554431.2000000002</v>
      </c>
      <c r="L10" s="115">
        <f>L8*L9</f>
        <v>31392.800000000003</v>
      </c>
      <c r="M10" s="115">
        <f>M8*M9</f>
        <v>647879.60000000009</v>
      </c>
      <c r="N10" s="115">
        <f>N8*N9</f>
        <v>28993.800000000003</v>
      </c>
    </row>
    <row r="11" spans="2:15" ht="15.6" x14ac:dyDescent="0.3">
      <c r="B11" s="24">
        <f t="shared" si="1"/>
        <v>43559</v>
      </c>
      <c r="C11" s="79">
        <v>2622039</v>
      </c>
      <c r="D11" s="25"/>
      <c r="E11" s="24">
        <f t="shared" si="2"/>
        <v>43924</v>
      </c>
      <c r="F11" s="79">
        <v>1840886</v>
      </c>
      <c r="G11" s="26"/>
      <c r="H11" s="27">
        <f t="shared" si="0"/>
        <v>781153</v>
      </c>
      <c r="J11" s="176" t="s">
        <v>84</v>
      </c>
      <c r="K11" s="177">
        <v>2.99</v>
      </c>
      <c r="L11" s="177">
        <v>1.49</v>
      </c>
      <c r="M11" s="177">
        <v>6.14</v>
      </c>
      <c r="N11" s="177">
        <v>6.14</v>
      </c>
    </row>
    <row r="12" spans="2:15" ht="15.6" x14ac:dyDescent="0.3">
      <c r="B12" s="24">
        <f t="shared" si="1"/>
        <v>43590</v>
      </c>
      <c r="C12" s="79">
        <v>3713075</v>
      </c>
      <c r="D12" s="25"/>
      <c r="E12" s="24">
        <f t="shared" si="2"/>
        <v>43955</v>
      </c>
      <c r="F12" s="79">
        <v>2714188</v>
      </c>
      <c r="G12" s="26"/>
      <c r="H12" s="27">
        <f t="shared" si="0"/>
        <v>998887</v>
      </c>
      <c r="J12" s="30" t="s">
        <v>85</v>
      </c>
      <c r="K12" s="81">
        <f>K10*K11</f>
        <v>7637749.2880000006</v>
      </c>
      <c r="L12" s="81">
        <f>L10*L11</f>
        <v>46775.272000000004</v>
      </c>
      <c r="M12" s="81">
        <f>M10*M11</f>
        <v>3977980.7440000004</v>
      </c>
      <c r="N12" s="81">
        <f>N10*N11</f>
        <v>178021.932</v>
      </c>
      <c r="O12" s="34"/>
    </row>
    <row r="13" spans="2:15" ht="15.6" x14ac:dyDescent="0.3">
      <c r="B13" s="24">
        <f t="shared" si="1"/>
        <v>43621</v>
      </c>
      <c r="C13" s="79">
        <v>3554115</v>
      </c>
      <c r="D13" s="25"/>
      <c r="E13" s="24">
        <f t="shared" si="2"/>
        <v>43986</v>
      </c>
      <c r="F13" s="79">
        <v>2569421</v>
      </c>
      <c r="G13" s="26"/>
      <c r="H13" s="27">
        <f t="shared" si="0"/>
        <v>984694</v>
      </c>
      <c r="J13" s="31" t="s">
        <v>86</v>
      </c>
      <c r="K13" s="32"/>
      <c r="L13" s="33"/>
    </row>
    <row r="14" spans="2:15" ht="15.6" x14ac:dyDescent="0.3">
      <c r="B14" s="24">
        <f t="shared" si="1"/>
        <v>43652</v>
      </c>
      <c r="C14" s="79">
        <v>3235752</v>
      </c>
      <c r="D14" s="25"/>
      <c r="E14" s="24">
        <f t="shared" si="2"/>
        <v>44017</v>
      </c>
      <c r="F14" s="79">
        <v>2347031</v>
      </c>
      <c r="G14" s="26"/>
      <c r="H14" s="27">
        <f t="shared" si="0"/>
        <v>888721</v>
      </c>
    </row>
    <row r="15" spans="2:15" ht="15.6" x14ac:dyDescent="0.3">
      <c r="B15" s="24">
        <f t="shared" si="1"/>
        <v>43683</v>
      </c>
      <c r="C15" s="79">
        <v>3572748</v>
      </c>
      <c r="D15" s="25"/>
      <c r="E15" s="24">
        <f t="shared" si="2"/>
        <v>44048</v>
      </c>
      <c r="F15" s="79">
        <v>2585627</v>
      </c>
      <c r="G15" s="26"/>
      <c r="H15" s="27">
        <f t="shared" si="0"/>
        <v>987121</v>
      </c>
      <c r="J15" s="82" t="s">
        <v>87</v>
      </c>
      <c r="K15" s="83">
        <f>SUM(K12:N12)+K13</f>
        <v>11840527.236000001</v>
      </c>
    </row>
    <row r="16" spans="2:15" ht="15.6" x14ac:dyDescent="0.3">
      <c r="B16" s="24">
        <f t="shared" si="1"/>
        <v>43714</v>
      </c>
      <c r="C16" s="79">
        <v>4776310</v>
      </c>
      <c r="D16" s="25"/>
      <c r="E16" s="24">
        <f t="shared" si="2"/>
        <v>44079</v>
      </c>
      <c r="F16" s="79">
        <v>3535489</v>
      </c>
      <c r="G16" s="26"/>
      <c r="H16" s="27">
        <f t="shared" si="0"/>
        <v>1240821</v>
      </c>
      <c r="J16" s="200"/>
      <c r="K16" s="201"/>
      <c r="L16" s="201"/>
      <c r="M16" s="201"/>
      <c r="N16" s="201"/>
    </row>
    <row r="17" spans="2:16" ht="15.6" x14ac:dyDescent="0.3">
      <c r="B17" s="24">
        <f t="shared" si="1"/>
        <v>43745</v>
      </c>
      <c r="C17" s="79">
        <v>4252719</v>
      </c>
      <c r="D17" s="25"/>
      <c r="E17" s="24">
        <f t="shared" si="2"/>
        <v>44110</v>
      </c>
      <c r="F17" s="79">
        <v>3117869</v>
      </c>
      <c r="G17" s="26"/>
      <c r="H17" s="27">
        <f t="shared" si="0"/>
        <v>1134850</v>
      </c>
      <c r="J17" s="200"/>
      <c r="K17" s="202"/>
      <c r="L17" s="202"/>
      <c r="M17" s="202"/>
      <c r="N17" s="202"/>
      <c r="O17" s="108"/>
    </row>
    <row r="18" spans="2:16" ht="15.6" x14ac:dyDescent="0.3">
      <c r="B18" s="24">
        <f t="shared" si="1"/>
        <v>43776</v>
      </c>
      <c r="C18" s="79">
        <v>5061368</v>
      </c>
      <c r="D18" s="25"/>
      <c r="E18" s="24">
        <f t="shared" si="2"/>
        <v>44141</v>
      </c>
      <c r="F18" s="79">
        <v>3677824</v>
      </c>
      <c r="G18" s="26"/>
      <c r="H18" s="27">
        <f t="shared" si="0"/>
        <v>1383544</v>
      </c>
      <c r="O18" s="107"/>
    </row>
    <row r="19" spans="2:16" ht="15.6" x14ac:dyDescent="0.3">
      <c r="B19" s="24">
        <f t="shared" si="1"/>
        <v>43807</v>
      </c>
      <c r="C19" s="79">
        <v>3283001</v>
      </c>
      <c r="D19" s="25"/>
      <c r="E19" s="24">
        <f t="shared" si="2"/>
        <v>44172</v>
      </c>
      <c r="F19" s="79">
        <v>2357470</v>
      </c>
      <c r="G19" s="26"/>
      <c r="H19" s="27">
        <f t="shared" si="0"/>
        <v>925531</v>
      </c>
      <c r="P19" s="109"/>
    </row>
    <row r="20" spans="2:16" x14ac:dyDescent="0.3">
      <c r="P20" s="34"/>
    </row>
    <row r="21" spans="2:16" ht="18.75" customHeight="1" x14ac:dyDescent="0.3">
      <c r="B21" s="319" t="s">
        <v>88</v>
      </c>
      <c r="C21" s="320"/>
      <c r="D21" s="320"/>
      <c r="E21" s="320"/>
      <c r="F21" s="320"/>
      <c r="G21" s="320"/>
      <c r="H21" s="321"/>
    </row>
    <row r="22" spans="2:16" ht="15.6" x14ac:dyDescent="0.3">
      <c r="B22" s="22" t="s">
        <v>77</v>
      </c>
      <c r="C22" s="22" t="s">
        <v>78</v>
      </c>
      <c r="D22" s="23"/>
      <c r="E22" s="22" t="s">
        <v>79</v>
      </c>
      <c r="F22" s="22" t="s">
        <v>78</v>
      </c>
      <c r="G22" s="23"/>
      <c r="H22" s="22" t="s">
        <v>80</v>
      </c>
    </row>
    <row r="23" spans="2:16" ht="15.6" x14ac:dyDescent="0.3">
      <c r="B23" s="24">
        <f>+B8</f>
        <v>43466</v>
      </c>
      <c r="C23" s="79">
        <v>67281</v>
      </c>
      <c r="D23" s="25"/>
      <c r="E23" s="24">
        <f>+E8</f>
        <v>43831</v>
      </c>
      <c r="F23" s="79">
        <v>46088</v>
      </c>
      <c r="G23" s="26"/>
      <c r="H23" s="27">
        <f t="shared" ref="H23:H34" si="3">IF(C23-F23&lt;=0,"",C23-F23)</f>
        <v>21193</v>
      </c>
    </row>
    <row r="24" spans="2:16" ht="15.6" x14ac:dyDescent="0.3">
      <c r="B24" s="24">
        <f t="shared" ref="B24:B34" si="4">+B9</f>
        <v>43497</v>
      </c>
      <c r="C24" s="79">
        <v>83345</v>
      </c>
      <c r="D24" s="25"/>
      <c r="E24" s="24">
        <f t="shared" ref="E24:E34" si="5">+E9</f>
        <v>43862</v>
      </c>
      <c r="F24" s="79">
        <v>56814</v>
      </c>
      <c r="G24" s="26"/>
      <c r="H24" s="27">
        <f t="shared" si="3"/>
        <v>26531</v>
      </c>
    </row>
    <row r="25" spans="2:16" ht="15.6" x14ac:dyDescent="0.3">
      <c r="B25" s="24">
        <f t="shared" si="4"/>
        <v>43528</v>
      </c>
      <c r="C25" s="79">
        <v>65711</v>
      </c>
      <c r="D25" s="25"/>
      <c r="E25" s="24">
        <f t="shared" si="5"/>
        <v>43893</v>
      </c>
      <c r="F25" s="79">
        <v>45311</v>
      </c>
      <c r="G25" s="26"/>
      <c r="H25" s="27">
        <f t="shared" si="3"/>
        <v>20400</v>
      </c>
    </row>
    <row r="26" spans="2:16" ht="15.6" x14ac:dyDescent="0.3">
      <c r="B26" s="24">
        <f t="shared" si="4"/>
        <v>43559</v>
      </c>
      <c r="C26" s="79">
        <v>50151</v>
      </c>
      <c r="D26" s="25"/>
      <c r="E26" s="24">
        <f t="shared" si="5"/>
        <v>43924</v>
      </c>
      <c r="F26" s="79">
        <v>34328</v>
      </c>
      <c r="G26" s="26"/>
      <c r="H26" s="27">
        <f t="shared" si="3"/>
        <v>15823</v>
      </c>
    </row>
    <row r="27" spans="2:16" ht="15.6" x14ac:dyDescent="0.3">
      <c r="B27" s="24">
        <f t="shared" si="4"/>
        <v>43590</v>
      </c>
      <c r="C27" s="79">
        <v>60632</v>
      </c>
      <c r="D27" s="25"/>
      <c r="E27" s="24">
        <f t="shared" si="5"/>
        <v>43955</v>
      </c>
      <c r="F27" s="79">
        <v>42045</v>
      </c>
      <c r="G27" s="26"/>
      <c r="H27" s="27">
        <f t="shared" si="3"/>
        <v>18587</v>
      </c>
    </row>
    <row r="28" spans="2:16" ht="15.6" x14ac:dyDescent="0.3">
      <c r="B28" s="24">
        <f t="shared" si="4"/>
        <v>43621</v>
      </c>
      <c r="C28" s="79">
        <v>59875</v>
      </c>
      <c r="D28" s="25"/>
      <c r="E28" s="24">
        <f t="shared" si="5"/>
        <v>43986</v>
      </c>
      <c r="F28" s="79">
        <v>41170</v>
      </c>
      <c r="G28" s="26"/>
      <c r="H28" s="27">
        <f t="shared" si="3"/>
        <v>18705</v>
      </c>
    </row>
    <row r="29" spans="2:16" ht="15.6" x14ac:dyDescent="0.3">
      <c r="B29" s="24">
        <f t="shared" si="4"/>
        <v>43652</v>
      </c>
      <c r="C29" s="79">
        <v>50876</v>
      </c>
      <c r="D29" s="25"/>
      <c r="E29" s="24">
        <f t="shared" si="5"/>
        <v>44017</v>
      </c>
      <c r="F29" s="79">
        <v>34619</v>
      </c>
      <c r="G29" s="26"/>
      <c r="H29" s="27">
        <f t="shared" si="3"/>
        <v>16257</v>
      </c>
    </row>
    <row r="30" spans="2:16" ht="15.6" x14ac:dyDescent="0.3">
      <c r="B30" s="24">
        <f t="shared" si="4"/>
        <v>43683</v>
      </c>
      <c r="C30" s="79">
        <v>56826</v>
      </c>
      <c r="D30" s="25"/>
      <c r="E30" s="24">
        <f t="shared" si="5"/>
        <v>44048</v>
      </c>
      <c r="F30" s="79">
        <v>38496</v>
      </c>
      <c r="G30" s="26"/>
      <c r="H30" s="27">
        <f t="shared" si="3"/>
        <v>18330</v>
      </c>
    </row>
    <row r="31" spans="2:16" ht="15.6" x14ac:dyDescent="0.3">
      <c r="B31" s="24">
        <f t="shared" si="4"/>
        <v>43714</v>
      </c>
      <c r="C31" s="79">
        <v>1449</v>
      </c>
      <c r="D31" s="25"/>
      <c r="E31" s="24">
        <f t="shared" si="5"/>
        <v>44079</v>
      </c>
      <c r="F31" s="79">
        <v>977</v>
      </c>
      <c r="G31" s="26"/>
      <c r="H31" s="27">
        <f t="shared" si="3"/>
        <v>472</v>
      </c>
    </row>
    <row r="32" spans="2:16" ht="15.6" x14ac:dyDescent="0.3">
      <c r="B32" s="24">
        <f t="shared" si="4"/>
        <v>43745</v>
      </c>
      <c r="C32" s="79">
        <v>989</v>
      </c>
      <c r="D32" s="25"/>
      <c r="E32" s="24">
        <f t="shared" si="5"/>
        <v>44110</v>
      </c>
      <c r="F32" s="79">
        <v>743</v>
      </c>
      <c r="G32" s="26"/>
      <c r="H32" s="27">
        <f t="shared" si="3"/>
        <v>246</v>
      </c>
    </row>
    <row r="33" spans="2:10" ht="15.6" x14ac:dyDescent="0.3">
      <c r="B33" s="24">
        <f t="shared" si="4"/>
        <v>43776</v>
      </c>
      <c r="C33" s="79">
        <v>929</v>
      </c>
      <c r="D33" s="25"/>
      <c r="E33" s="24">
        <f t="shared" si="5"/>
        <v>44141</v>
      </c>
      <c r="F33" s="79">
        <v>619</v>
      </c>
      <c r="G33" s="26"/>
      <c r="H33" s="27">
        <f t="shared" si="3"/>
        <v>310</v>
      </c>
    </row>
    <row r="34" spans="2:10" ht="15.6" x14ac:dyDescent="0.3">
      <c r="B34" s="24">
        <f t="shared" si="4"/>
        <v>43807</v>
      </c>
      <c r="C34" s="79">
        <v>305</v>
      </c>
      <c r="D34" s="25"/>
      <c r="E34" s="24">
        <f t="shared" si="5"/>
        <v>44172</v>
      </c>
      <c r="F34" s="79">
        <v>195</v>
      </c>
      <c r="G34" s="26"/>
      <c r="H34" s="27">
        <f t="shared" si="3"/>
        <v>110</v>
      </c>
    </row>
    <row r="35" spans="2:10" x14ac:dyDescent="0.3">
      <c r="J35" t="s">
        <v>18</v>
      </c>
    </row>
    <row r="36" spans="2:10" ht="18.75" customHeight="1" x14ac:dyDescent="0.3">
      <c r="B36" s="319" t="s">
        <v>89</v>
      </c>
      <c r="C36" s="320"/>
      <c r="D36" s="320"/>
      <c r="E36" s="320"/>
      <c r="F36" s="320"/>
      <c r="G36" s="320"/>
      <c r="H36" s="321"/>
    </row>
    <row r="37" spans="2:10" ht="15.6" x14ac:dyDescent="0.3">
      <c r="B37" s="22" t="s">
        <v>77</v>
      </c>
      <c r="C37" s="22" t="s">
        <v>78</v>
      </c>
      <c r="D37" s="23"/>
      <c r="E37" s="22" t="s">
        <v>79</v>
      </c>
      <c r="F37" s="22" t="s">
        <v>78</v>
      </c>
      <c r="G37" s="23"/>
      <c r="H37" s="22" t="s">
        <v>80</v>
      </c>
    </row>
    <row r="38" spans="2:10" ht="15.6" x14ac:dyDescent="0.3">
      <c r="B38" s="24">
        <f>+B23</f>
        <v>43466</v>
      </c>
      <c r="C38" s="79">
        <v>400533</v>
      </c>
      <c r="D38" s="25"/>
      <c r="E38" s="24">
        <f>+E23</f>
        <v>43831</v>
      </c>
      <c r="F38" s="79">
        <v>270301</v>
      </c>
      <c r="G38" s="26"/>
      <c r="H38" s="27">
        <f t="shared" ref="H38:H49" si="6">IF(C38-F38&lt;=0,"",C38-F38)</f>
        <v>130232</v>
      </c>
    </row>
    <row r="39" spans="2:10" ht="15.6" x14ac:dyDescent="0.3">
      <c r="B39" s="24">
        <f t="shared" ref="B39:B49" si="7">+B24</f>
        <v>43497</v>
      </c>
      <c r="C39" s="79">
        <v>509869</v>
      </c>
      <c r="D39" s="25"/>
      <c r="E39" s="24">
        <f t="shared" ref="E39:E49" si="8">+E24</f>
        <v>43862</v>
      </c>
      <c r="F39" s="79">
        <v>352151</v>
      </c>
      <c r="G39" s="26"/>
      <c r="H39" s="27">
        <f t="shared" si="6"/>
        <v>157718</v>
      </c>
    </row>
    <row r="40" spans="2:10" ht="15.6" x14ac:dyDescent="0.3">
      <c r="B40" s="24">
        <f t="shared" si="7"/>
        <v>43528</v>
      </c>
      <c r="C40" s="79">
        <v>489484</v>
      </c>
      <c r="D40" s="25"/>
      <c r="E40" s="24">
        <f t="shared" si="8"/>
        <v>43893</v>
      </c>
      <c r="F40" s="79">
        <v>346529</v>
      </c>
      <c r="G40" s="26"/>
      <c r="H40" s="27">
        <f t="shared" si="6"/>
        <v>142955</v>
      </c>
    </row>
    <row r="41" spans="2:10" ht="15.6" x14ac:dyDescent="0.3">
      <c r="B41" s="24">
        <f t="shared" si="7"/>
        <v>43559</v>
      </c>
      <c r="C41" s="79">
        <v>650353</v>
      </c>
      <c r="D41" s="25"/>
      <c r="E41" s="24">
        <f t="shared" si="8"/>
        <v>43924</v>
      </c>
      <c r="F41" s="79">
        <v>325578</v>
      </c>
      <c r="G41" s="26"/>
      <c r="H41" s="27">
        <f t="shared" si="6"/>
        <v>324775</v>
      </c>
    </row>
    <row r="42" spans="2:10" ht="15.6" x14ac:dyDescent="0.3">
      <c r="B42" s="24">
        <f t="shared" si="7"/>
        <v>43590</v>
      </c>
      <c r="C42" s="79">
        <v>673305</v>
      </c>
      <c r="D42" s="25"/>
      <c r="E42" s="24">
        <f t="shared" si="8"/>
        <v>43955</v>
      </c>
      <c r="F42" s="79">
        <v>302781</v>
      </c>
      <c r="G42" s="26"/>
      <c r="H42" s="27">
        <f t="shared" si="6"/>
        <v>370524</v>
      </c>
    </row>
    <row r="43" spans="2:10" ht="15.6" x14ac:dyDescent="0.3">
      <c r="B43" s="24">
        <f t="shared" si="7"/>
        <v>43621</v>
      </c>
      <c r="C43" s="79">
        <v>678308</v>
      </c>
      <c r="D43" s="25"/>
      <c r="E43" s="24">
        <f t="shared" si="8"/>
        <v>43986</v>
      </c>
      <c r="F43" s="79">
        <v>321765</v>
      </c>
      <c r="G43" s="26"/>
      <c r="H43" s="27">
        <f t="shared" si="6"/>
        <v>356543</v>
      </c>
    </row>
    <row r="44" spans="2:10" ht="15.6" x14ac:dyDescent="0.3">
      <c r="B44" s="24">
        <f t="shared" si="7"/>
        <v>43652</v>
      </c>
      <c r="C44" s="79">
        <v>674724</v>
      </c>
      <c r="D44" s="25"/>
      <c r="E44" s="24">
        <f t="shared" si="8"/>
        <v>44017</v>
      </c>
      <c r="F44" s="79">
        <v>348818</v>
      </c>
      <c r="G44" s="26"/>
      <c r="H44" s="27">
        <f t="shared" si="6"/>
        <v>325906</v>
      </c>
    </row>
    <row r="45" spans="2:10" ht="15.6" x14ac:dyDescent="0.3">
      <c r="B45" s="24">
        <f t="shared" si="7"/>
        <v>43683</v>
      </c>
      <c r="C45" s="79">
        <v>692939</v>
      </c>
      <c r="D45" s="25"/>
      <c r="E45" s="24">
        <f t="shared" si="8"/>
        <v>44048</v>
      </c>
      <c r="F45" s="79">
        <v>397090</v>
      </c>
      <c r="G45" s="26"/>
      <c r="H45" s="27">
        <f t="shared" si="6"/>
        <v>295849</v>
      </c>
    </row>
    <row r="46" spans="2:10" ht="15.6" x14ac:dyDescent="0.3">
      <c r="B46" s="24">
        <f t="shared" si="7"/>
        <v>43714</v>
      </c>
      <c r="C46" s="79">
        <v>781533</v>
      </c>
      <c r="D46" s="25"/>
      <c r="E46" s="24">
        <f t="shared" si="8"/>
        <v>44079</v>
      </c>
      <c r="F46" s="79">
        <v>441809</v>
      </c>
      <c r="G46" s="26"/>
      <c r="H46" s="27">
        <f t="shared" si="6"/>
        <v>339724</v>
      </c>
    </row>
    <row r="47" spans="2:10" ht="15.6" x14ac:dyDescent="0.3">
      <c r="B47" s="24">
        <f t="shared" si="7"/>
        <v>43745</v>
      </c>
      <c r="C47" s="79">
        <v>709567</v>
      </c>
      <c r="D47" s="25"/>
      <c r="E47" s="24">
        <f t="shared" si="8"/>
        <v>44110</v>
      </c>
      <c r="F47" s="79">
        <v>426437</v>
      </c>
      <c r="G47" s="26"/>
      <c r="H47" s="27">
        <f t="shared" si="6"/>
        <v>283130</v>
      </c>
    </row>
    <row r="48" spans="2:10" ht="15.6" x14ac:dyDescent="0.3">
      <c r="B48" s="24">
        <f t="shared" si="7"/>
        <v>43776</v>
      </c>
      <c r="C48" s="79">
        <v>723199</v>
      </c>
      <c r="D48" s="25"/>
      <c r="E48" s="24">
        <f t="shared" si="8"/>
        <v>44141</v>
      </c>
      <c r="F48" s="79">
        <v>432096</v>
      </c>
      <c r="G48" s="26"/>
      <c r="H48" s="27">
        <f t="shared" si="6"/>
        <v>291103</v>
      </c>
    </row>
    <row r="49" spans="2:8" ht="15.6" x14ac:dyDescent="0.3">
      <c r="B49" s="24">
        <f t="shared" si="7"/>
        <v>43807</v>
      </c>
      <c r="C49" s="79">
        <v>593647</v>
      </c>
      <c r="D49" s="25"/>
      <c r="E49" s="24">
        <f t="shared" si="8"/>
        <v>44172</v>
      </c>
      <c r="F49" s="79">
        <v>372708</v>
      </c>
      <c r="G49" s="26"/>
      <c r="H49" s="27">
        <f t="shared" si="6"/>
        <v>220939</v>
      </c>
    </row>
    <row r="51" spans="2:8" ht="18.75" customHeight="1" x14ac:dyDescent="0.3">
      <c r="B51" s="319" t="s">
        <v>90</v>
      </c>
      <c r="C51" s="320"/>
      <c r="D51" s="320"/>
      <c r="E51" s="320"/>
      <c r="F51" s="320"/>
      <c r="G51" s="320"/>
      <c r="H51" s="321"/>
    </row>
    <row r="52" spans="2:8" ht="15.6" x14ac:dyDescent="0.3">
      <c r="B52" s="22" t="s">
        <v>77</v>
      </c>
      <c r="C52" s="22" t="s">
        <v>78</v>
      </c>
      <c r="D52" s="23"/>
      <c r="E52" s="22" t="s">
        <v>79</v>
      </c>
      <c r="F52" s="22" t="s">
        <v>78</v>
      </c>
      <c r="G52" s="23"/>
      <c r="H52" s="22" t="s">
        <v>80</v>
      </c>
    </row>
    <row r="53" spans="2:8" ht="15.6" x14ac:dyDescent="0.3">
      <c r="B53" s="24">
        <f>+B38</f>
        <v>43466</v>
      </c>
      <c r="C53" s="79">
        <v>13613</v>
      </c>
      <c r="D53" s="25"/>
      <c r="E53" s="24">
        <f>+E38</f>
        <v>43831</v>
      </c>
      <c r="F53" s="79">
        <v>10081</v>
      </c>
      <c r="G53" s="26"/>
      <c r="H53" s="27">
        <f t="shared" ref="H53:H64" si="9">IF(C53-F53&lt;=0,"",C53-F53)</f>
        <v>3532</v>
      </c>
    </row>
    <row r="54" spans="2:8" ht="15.6" x14ac:dyDescent="0.3">
      <c r="B54" s="24">
        <f t="shared" ref="B54:B64" si="10">+B39</f>
        <v>43497</v>
      </c>
      <c r="C54" s="79">
        <v>28846</v>
      </c>
      <c r="D54" s="25"/>
      <c r="E54" s="24">
        <f t="shared" ref="E54:E64" si="11">+E39</f>
        <v>43862</v>
      </c>
      <c r="F54" s="79">
        <v>14639</v>
      </c>
      <c r="G54" s="26"/>
      <c r="H54" s="27">
        <f t="shared" si="9"/>
        <v>14207</v>
      </c>
    </row>
    <row r="55" spans="2:8" ht="15.6" x14ac:dyDescent="0.3">
      <c r="B55" s="24">
        <f t="shared" si="10"/>
        <v>43528</v>
      </c>
      <c r="C55" s="79">
        <v>20954</v>
      </c>
      <c r="D55" s="25"/>
      <c r="E55" s="24">
        <f t="shared" si="11"/>
        <v>43893</v>
      </c>
      <c r="F55" s="79">
        <v>8147</v>
      </c>
      <c r="G55" s="26"/>
      <c r="H55" s="27">
        <f t="shared" si="9"/>
        <v>12807</v>
      </c>
    </row>
    <row r="56" spans="2:8" ht="15.6" x14ac:dyDescent="0.3">
      <c r="B56" s="24">
        <f t="shared" si="10"/>
        <v>43559</v>
      </c>
      <c r="C56" s="79">
        <v>28929</v>
      </c>
      <c r="D56" s="25"/>
      <c r="E56" s="24">
        <f t="shared" si="11"/>
        <v>43924</v>
      </c>
      <c r="F56" s="79">
        <v>13881</v>
      </c>
      <c r="G56" s="26"/>
      <c r="H56" s="27">
        <f t="shared" si="9"/>
        <v>15048</v>
      </c>
    </row>
    <row r="57" spans="2:8" ht="15.6" x14ac:dyDescent="0.3">
      <c r="B57" s="24">
        <f t="shared" si="10"/>
        <v>43590</v>
      </c>
      <c r="C57" s="79">
        <v>22817</v>
      </c>
      <c r="D57" s="25"/>
      <c r="E57" s="24">
        <f t="shared" si="11"/>
        <v>43955</v>
      </c>
      <c r="F57" s="79">
        <v>10017</v>
      </c>
      <c r="G57" s="26"/>
      <c r="H57" s="27">
        <f t="shared" si="9"/>
        <v>12800</v>
      </c>
    </row>
    <row r="58" spans="2:8" ht="15.6" x14ac:dyDescent="0.3">
      <c r="B58" s="24">
        <f t="shared" si="10"/>
        <v>43621</v>
      </c>
      <c r="C58" s="79">
        <v>24610</v>
      </c>
      <c r="D58" s="25"/>
      <c r="E58" s="24">
        <f t="shared" si="11"/>
        <v>43986</v>
      </c>
      <c r="F58" s="79">
        <v>13847</v>
      </c>
      <c r="G58" s="26"/>
      <c r="H58" s="27">
        <f t="shared" si="9"/>
        <v>10763</v>
      </c>
    </row>
    <row r="59" spans="2:8" ht="15.6" x14ac:dyDescent="0.3">
      <c r="B59" s="24">
        <f t="shared" si="10"/>
        <v>43652</v>
      </c>
      <c r="C59" s="79">
        <v>25582</v>
      </c>
      <c r="D59" s="25"/>
      <c r="E59" s="24">
        <f t="shared" si="11"/>
        <v>44017</v>
      </c>
      <c r="F59" s="79">
        <v>10728</v>
      </c>
      <c r="G59" s="26"/>
      <c r="H59" s="27">
        <f t="shared" si="9"/>
        <v>14854</v>
      </c>
    </row>
    <row r="60" spans="2:8" ht="15.6" x14ac:dyDescent="0.3">
      <c r="B60" s="24">
        <f t="shared" si="10"/>
        <v>43683</v>
      </c>
      <c r="C60" s="79">
        <v>23258</v>
      </c>
      <c r="D60" s="25"/>
      <c r="E60" s="24">
        <f t="shared" si="11"/>
        <v>44048</v>
      </c>
      <c r="F60" s="79">
        <v>10719</v>
      </c>
      <c r="G60" s="26"/>
      <c r="H60" s="27">
        <f t="shared" si="9"/>
        <v>12539</v>
      </c>
    </row>
    <row r="61" spans="2:8" ht="15.6" x14ac:dyDescent="0.3">
      <c r="B61" s="24">
        <f t="shared" si="10"/>
        <v>43714</v>
      </c>
      <c r="C61" s="79">
        <v>33521</v>
      </c>
      <c r="D61" s="25"/>
      <c r="E61" s="24">
        <f t="shared" si="11"/>
        <v>44079</v>
      </c>
      <c r="F61" s="79">
        <v>21724</v>
      </c>
      <c r="G61" s="26"/>
      <c r="H61" s="27">
        <f t="shared" si="9"/>
        <v>11797</v>
      </c>
    </row>
    <row r="62" spans="2:8" ht="15.6" x14ac:dyDescent="0.3">
      <c r="B62" s="24">
        <f t="shared" si="10"/>
        <v>43745</v>
      </c>
      <c r="C62" s="79">
        <v>26129</v>
      </c>
      <c r="D62" s="25"/>
      <c r="E62" s="24">
        <f t="shared" si="11"/>
        <v>44110</v>
      </c>
      <c r="F62" s="79">
        <v>13474</v>
      </c>
      <c r="G62" s="26"/>
      <c r="H62" s="27">
        <f t="shared" si="9"/>
        <v>12655</v>
      </c>
    </row>
    <row r="63" spans="2:8" ht="15.6" x14ac:dyDescent="0.3">
      <c r="B63" s="24">
        <f t="shared" si="10"/>
        <v>43776</v>
      </c>
      <c r="C63" s="79">
        <v>33449</v>
      </c>
      <c r="D63" s="25"/>
      <c r="E63" s="24">
        <f t="shared" si="11"/>
        <v>44141</v>
      </c>
      <c r="F63" s="79">
        <v>22081</v>
      </c>
      <c r="G63" s="26"/>
      <c r="H63" s="27">
        <f t="shared" si="9"/>
        <v>11368</v>
      </c>
    </row>
    <row r="64" spans="2:8" ht="15.6" x14ac:dyDescent="0.3">
      <c r="B64" s="24">
        <f t="shared" si="10"/>
        <v>43807</v>
      </c>
      <c r="C64" s="79">
        <v>28608</v>
      </c>
      <c r="D64" s="25"/>
      <c r="E64" s="24">
        <f t="shared" si="11"/>
        <v>44172</v>
      </c>
      <c r="F64" s="79">
        <v>16009</v>
      </c>
      <c r="G64" s="26"/>
      <c r="H64" s="27">
        <f t="shared" si="9"/>
        <v>12599</v>
      </c>
    </row>
    <row r="65" spans="2:2" x14ac:dyDescent="0.3">
      <c r="B65" s="7" t="s">
        <v>18</v>
      </c>
    </row>
    <row r="76" spans="2:2" ht="20.25" customHeight="1" x14ac:dyDescent="0.3"/>
  </sheetData>
  <mergeCells count="6">
    <mergeCell ref="B51:H51"/>
    <mergeCell ref="J6:N6"/>
    <mergeCell ref="B36:H36"/>
    <mergeCell ref="E3:K3"/>
    <mergeCell ref="B6:H6"/>
    <mergeCell ref="B21:H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rgb="FF002060"/>
  </sheetPr>
  <dimension ref="A1:M35"/>
  <sheetViews>
    <sheetView showGridLines="0" zoomScaleNormal="100" workbookViewId="0">
      <selection activeCell="B3" sqref="B3:E3"/>
    </sheetView>
  </sheetViews>
  <sheetFormatPr defaultRowHeight="14.4" x14ac:dyDescent="0.3"/>
  <cols>
    <col min="1" max="1" width="4.6640625" style="38" customWidth="1"/>
    <col min="2" max="2" width="45" style="38" customWidth="1"/>
    <col min="3" max="3" width="16.88671875" style="38" customWidth="1"/>
    <col min="4" max="4" width="16.44140625" style="38" customWidth="1"/>
    <col min="5" max="5" width="20.109375" style="38" customWidth="1"/>
    <col min="6" max="6" width="39.5546875" style="38" customWidth="1"/>
    <col min="7" max="7" width="12" style="38" bestFit="1" customWidth="1"/>
    <col min="8" max="8" width="18.6640625" bestFit="1" customWidth="1"/>
    <col min="10" max="10" width="17.44140625" bestFit="1" customWidth="1"/>
    <col min="13" max="13" width="13.109375" bestFit="1" customWidth="1"/>
  </cols>
  <sheetData>
    <row r="1" spans="2:13" s="38" customFormat="1" ht="13.8" x14ac:dyDescent="0.3"/>
    <row r="2" spans="2:13" s="38" customFormat="1" ht="13.8" x14ac:dyDescent="0.3"/>
    <row r="3" spans="2:13" s="38" customFormat="1" ht="18" customHeight="1" x14ac:dyDescent="0.3">
      <c r="B3" s="293" t="s">
        <v>91</v>
      </c>
      <c r="C3" s="293"/>
      <c r="D3" s="293"/>
      <c r="E3" s="293"/>
    </row>
    <row r="4" spans="2:13" s="38" customFormat="1" ht="28.5" customHeight="1" x14ac:dyDescent="0.3">
      <c r="M4" s="77"/>
    </row>
    <row r="5" spans="2:13" s="38" customFormat="1" ht="18" customHeight="1" x14ac:dyDescent="0.3">
      <c r="B5" s="215" t="s">
        <v>273</v>
      </c>
      <c r="C5" s="216" t="s">
        <v>92</v>
      </c>
    </row>
    <row r="6" spans="2:13" s="38" customFormat="1" ht="18" customHeight="1" x14ac:dyDescent="0.3">
      <c r="B6" s="229" t="s">
        <v>93</v>
      </c>
      <c r="C6" s="230">
        <v>0.01</v>
      </c>
      <c r="M6" s="78"/>
    </row>
    <row r="7" spans="2:13" s="38" customFormat="1" ht="18" customHeight="1" x14ac:dyDescent="0.3">
      <c r="B7" s="229" t="s">
        <v>94</v>
      </c>
      <c r="C7" s="230">
        <v>2.5000000000000001E-2</v>
      </c>
      <c r="M7" s="77"/>
    </row>
    <row r="8" spans="2:13" s="38" customFormat="1" ht="9" customHeight="1" x14ac:dyDescent="0.3">
      <c r="B8" s="224"/>
      <c r="C8" s="225"/>
    </row>
    <row r="9" spans="2:13" s="41" customFormat="1" ht="18" customHeight="1" x14ac:dyDescent="0.3">
      <c r="B9" s="322" t="s">
        <v>95</v>
      </c>
      <c r="C9" s="322"/>
      <c r="D9" s="40"/>
      <c r="I9" s="38"/>
      <c r="J9" s="38"/>
      <c r="K9" s="38"/>
    </row>
    <row r="10" spans="2:13" s="38" customFormat="1" ht="18" customHeight="1" x14ac:dyDescent="0.25">
      <c r="B10" s="217" t="s">
        <v>96</v>
      </c>
      <c r="C10" s="218">
        <f>+Volume_2020!R52</f>
        <v>166470058</v>
      </c>
      <c r="D10" s="88"/>
    </row>
    <row r="11" spans="2:13" s="38" customFormat="1" ht="18" customHeight="1" x14ac:dyDescent="0.25">
      <c r="B11" s="217" t="s">
        <v>97</v>
      </c>
      <c r="C11" s="218">
        <f>+Volume_2020!R84</f>
        <v>141460988</v>
      </c>
      <c r="D11" s="39"/>
    </row>
    <row r="12" spans="2:13" s="38" customFormat="1" ht="18" customHeight="1" x14ac:dyDescent="0.25">
      <c r="B12" s="219" t="s">
        <v>98</v>
      </c>
      <c r="C12" s="218">
        <f>Volume_2020!R52+Volume_2020!R84</f>
        <v>307931046</v>
      </c>
      <c r="D12" s="39"/>
      <c r="E12" s="76"/>
      <c r="J12" s="76"/>
    </row>
    <row r="13" spans="2:13" s="38" customFormat="1" ht="18" customHeight="1" x14ac:dyDescent="0.25">
      <c r="B13" s="219" t="s">
        <v>99</v>
      </c>
      <c r="C13" s="218">
        <f>'CF 2021'!Z15</f>
        <v>1771510184.8199997</v>
      </c>
      <c r="D13" s="39"/>
    </row>
    <row r="14" spans="2:13" s="41" customFormat="1" ht="18" customHeight="1" x14ac:dyDescent="0.3">
      <c r="B14" s="231" t="s">
        <v>100</v>
      </c>
      <c r="C14" s="221">
        <f>C6*C13</f>
        <v>17715101.848199997</v>
      </c>
      <c r="H14" s="38"/>
      <c r="I14" s="38"/>
      <c r="J14" s="38"/>
      <c r="K14" s="38"/>
      <c r="L14" s="38"/>
      <c r="M14" s="38"/>
    </row>
    <row r="15" spans="2:13" s="38" customFormat="1" ht="9" customHeight="1" x14ac:dyDescent="0.3">
      <c r="B15" s="224"/>
      <c r="C15" s="225"/>
    </row>
    <row r="16" spans="2:13" s="38" customFormat="1" ht="18" customHeight="1" x14ac:dyDescent="0.3">
      <c r="B16" s="322" t="s">
        <v>101</v>
      </c>
      <c r="C16" s="322"/>
      <c r="F16" s="43"/>
      <c r="H16" s="76"/>
    </row>
    <row r="17" spans="2:6" s="38" customFormat="1" ht="18" customHeight="1" x14ac:dyDescent="0.3">
      <c r="B17" s="217" t="s">
        <v>102</v>
      </c>
      <c r="C17" s="218">
        <f>'CF 2021'!Z8</f>
        <v>251704699</v>
      </c>
    </row>
    <row r="18" spans="2:6" s="38" customFormat="1" ht="18" customHeight="1" x14ac:dyDescent="0.3">
      <c r="B18" s="217" t="s">
        <v>103</v>
      </c>
      <c r="C18" s="218">
        <f>'CF 2021'!Z9</f>
        <v>140210043</v>
      </c>
      <c r="F18" s="77"/>
    </row>
    <row r="19" spans="2:6" s="38" customFormat="1" ht="18" customHeight="1" x14ac:dyDescent="0.3">
      <c r="B19" s="219" t="s">
        <v>104</v>
      </c>
      <c r="C19" s="218">
        <f>SUM(C17:C18)</f>
        <v>391914742</v>
      </c>
    </row>
    <row r="20" spans="2:6" s="38" customFormat="1" ht="18" customHeight="1" x14ac:dyDescent="0.3">
      <c r="B20" s="219" t="s">
        <v>105</v>
      </c>
      <c r="C20" s="218">
        <f>'CF 2021'!Z16</f>
        <v>2265332574.5171318</v>
      </c>
      <c r="D20" s="77"/>
    </row>
    <row r="21" spans="2:6" s="38" customFormat="1" x14ac:dyDescent="0.3">
      <c r="B21" s="231" t="s">
        <v>106</v>
      </c>
      <c r="C21" s="221">
        <f>C7*C20</f>
        <v>56633314.362928301</v>
      </c>
      <c r="D21" s="77"/>
    </row>
    <row r="22" spans="2:6" s="38" customFormat="1" ht="9" customHeight="1" x14ac:dyDescent="0.3">
      <c r="B22" s="224"/>
      <c r="C22" s="225"/>
    </row>
    <row r="23" spans="2:6" s="38" customFormat="1" x14ac:dyDescent="0.3">
      <c r="B23" s="222" t="s">
        <v>107</v>
      </c>
      <c r="C23" s="223">
        <v>60000</v>
      </c>
    </row>
    <row r="24" spans="2:6" s="38" customFormat="1" ht="9" customHeight="1" x14ac:dyDescent="0.3">
      <c r="B24" s="224"/>
      <c r="C24" s="225"/>
    </row>
    <row r="25" spans="2:6" s="38" customFormat="1" ht="28.8" x14ac:dyDescent="0.3">
      <c r="B25" s="222" t="s">
        <v>108</v>
      </c>
      <c r="C25" s="223">
        <v>7210047.9100000001</v>
      </c>
    </row>
    <row r="26" spans="2:6" s="38" customFormat="1" ht="9" customHeight="1" x14ac:dyDescent="0.3">
      <c r="B26" s="224"/>
      <c r="C26" s="225"/>
    </row>
    <row r="27" spans="2:6" s="38" customFormat="1" ht="28.8" hidden="1" x14ac:dyDescent="0.3">
      <c r="B27" s="222" t="s">
        <v>109</v>
      </c>
      <c r="C27" s="223"/>
    </row>
    <row r="28" spans="2:6" s="38" customFormat="1" hidden="1" x14ac:dyDescent="0.3">
      <c r="B28" s="224"/>
      <c r="C28" s="225"/>
    </row>
    <row r="29" spans="2:6" s="38" customFormat="1" ht="15.6" x14ac:dyDescent="0.3">
      <c r="B29" s="220" t="s">
        <v>110</v>
      </c>
      <c r="C29" s="221">
        <f>C14+C21+C23+C25+C27</f>
        <v>81618464.121128291</v>
      </c>
    </row>
    <row r="30" spans="2:6" s="38" customFormat="1" ht="9" customHeight="1" x14ac:dyDescent="0.3">
      <c r="B30" s="224"/>
      <c r="C30" s="225"/>
    </row>
    <row r="31" spans="2:6" s="38" customFormat="1" x14ac:dyDescent="0.3">
      <c r="B31" s="323" t="s">
        <v>111</v>
      </c>
      <c r="C31" s="324"/>
    </row>
    <row r="32" spans="2:6" s="38" customFormat="1" ht="15" customHeight="1" x14ac:dyDescent="0.3">
      <c r="B32" s="228" t="s">
        <v>112</v>
      </c>
      <c r="C32" s="227">
        <f>C29/C12</f>
        <v>0.26505435285381485</v>
      </c>
    </row>
    <row r="33" spans="1:7" x14ac:dyDescent="0.3">
      <c r="A33"/>
      <c r="B33" s="84"/>
      <c r="C33" s="84"/>
      <c r="D33"/>
      <c r="E33"/>
      <c r="F33"/>
      <c r="G33"/>
    </row>
    <row r="34" spans="1:7" x14ac:dyDescent="0.3">
      <c r="A34"/>
      <c r="B34" s="131"/>
      <c r="C34" s="84"/>
      <c r="D34"/>
      <c r="E34"/>
      <c r="F34"/>
      <c r="G34"/>
    </row>
    <row r="35" spans="1:7" x14ac:dyDescent="0.3">
      <c r="B35" s="84"/>
    </row>
  </sheetData>
  <mergeCells count="4">
    <mergeCell ref="B9:C9"/>
    <mergeCell ref="B16:C16"/>
    <mergeCell ref="B31:C31"/>
    <mergeCell ref="B3:E3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002060"/>
  </sheetPr>
  <dimension ref="A1:L41"/>
  <sheetViews>
    <sheetView showGridLines="0" zoomScaleNormal="100" workbookViewId="0">
      <selection activeCell="B12" sqref="B12"/>
    </sheetView>
  </sheetViews>
  <sheetFormatPr defaultRowHeight="14.4" x14ac:dyDescent="0.3"/>
  <cols>
    <col min="1" max="1" width="4.6640625" style="1" customWidth="1"/>
    <col min="2" max="2" width="23.44140625" style="1" customWidth="1"/>
    <col min="3" max="3" width="17.33203125" style="1" customWidth="1"/>
    <col min="4" max="4" width="16.6640625" style="1" customWidth="1"/>
    <col min="5" max="5" width="14" style="1" customWidth="1"/>
    <col min="6" max="6" width="13.5546875" style="1" customWidth="1"/>
    <col min="7" max="7" width="18.109375" style="1" customWidth="1"/>
    <col min="8" max="8" width="19" style="1" bestFit="1" customWidth="1"/>
    <col min="9" max="9" width="58" bestFit="1" customWidth="1"/>
    <col min="10" max="10" width="18.88671875" bestFit="1" customWidth="1"/>
    <col min="11" max="11" width="15.5546875" bestFit="1" customWidth="1"/>
    <col min="12" max="12" width="12.109375" bestFit="1" customWidth="1"/>
    <col min="13" max="15" width="65.109375" customWidth="1"/>
  </cols>
  <sheetData>
    <row r="1" spans="2:8" s="1" customFormat="1" ht="13.8" x14ac:dyDescent="0.25"/>
    <row r="2" spans="2:8" s="1" customFormat="1" ht="13.8" x14ac:dyDescent="0.25"/>
    <row r="3" spans="2:8" s="1" customFormat="1" ht="17.399999999999999" x14ac:dyDescent="0.25">
      <c r="C3" s="297" t="s">
        <v>113</v>
      </c>
      <c r="D3" s="297"/>
      <c r="E3" s="297"/>
      <c r="F3" s="297"/>
      <c r="G3" s="297"/>
      <c r="H3" s="15"/>
    </row>
    <row r="4" spans="2:8" s="1" customFormat="1" ht="13.8" x14ac:dyDescent="0.25"/>
    <row r="5" spans="2:8" s="1" customFormat="1" ht="13.8" x14ac:dyDescent="0.25"/>
    <row r="6" spans="2:8" s="1" customFormat="1" ht="13.8" x14ac:dyDescent="0.25"/>
    <row r="7" spans="2:8" s="1" customFormat="1" ht="17.100000000000001" customHeight="1" x14ac:dyDescent="0.3">
      <c r="B7" s="327" t="s">
        <v>114</v>
      </c>
      <c r="C7" s="327"/>
      <c r="D7" s="327"/>
      <c r="E7" s="327"/>
      <c r="F7" s="327"/>
      <c r="G7" s="327"/>
    </row>
    <row r="8" spans="2:8" s="1" customFormat="1" ht="17.100000000000001" customHeight="1" x14ac:dyDescent="0.25">
      <c r="B8" s="287"/>
      <c r="C8" s="287" t="s">
        <v>20</v>
      </c>
      <c r="D8" s="287" t="s">
        <v>115</v>
      </c>
      <c r="E8" s="232" t="s">
        <v>116</v>
      </c>
      <c r="F8" s="288" t="s">
        <v>117</v>
      </c>
      <c r="G8" s="288" t="s">
        <v>118</v>
      </c>
    </row>
    <row r="9" spans="2:8" s="45" customFormat="1" ht="18" customHeight="1" x14ac:dyDescent="0.3">
      <c r="B9" s="226" t="s">
        <v>119</v>
      </c>
      <c r="C9" s="226" t="s">
        <v>120</v>
      </c>
      <c r="D9" s="239">
        <v>548966485.50920939</v>
      </c>
      <c r="E9" s="233">
        <f>D9/$D$14</f>
        <v>0.36316618619409319</v>
      </c>
      <c r="F9" s="233">
        <f>+Indices_2021!$C$22</f>
        <v>5.4473158845030234E-2</v>
      </c>
      <c r="G9" s="234">
        <f>E9*F9</f>
        <v>1.9782809347694663E-2</v>
      </c>
    </row>
    <row r="10" spans="2:8" s="45" customFormat="1" ht="18" customHeight="1" x14ac:dyDescent="0.3">
      <c r="B10" s="226" t="s">
        <v>121</v>
      </c>
      <c r="C10" s="226" t="s">
        <v>122</v>
      </c>
      <c r="D10" s="239">
        <v>143986385.84</v>
      </c>
      <c r="E10" s="233">
        <f t="shared" ref="E10:E13" si="0">D10/$D$14</f>
        <v>9.5253513629124362E-2</v>
      </c>
      <c r="F10" s="233">
        <f>+Indices_2021!J32</f>
        <v>-0.11124890872757309</v>
      </c>
      <c r="G10" s="234">
        <f t="shared" ref="G10:G13" si="1">E10*F10</f>
        <v>-1.0596849443707096E-2</v>
      </c>
    </row>
    <row r="11" spans="2:8" s="45" customFormat="1" ht="18" customHeight="1" x14ac:dyDescent="0.3">
      <c r="B11" s="226" t="s">
        <v>123</v>
      </c>
      <c r="C11" s="226" t="s">
        <v>124</v>
      </c>
      <c r="D11" s="239">
        <v>77387004.115399957</v>
      </c>
      <c r="E11" s="233">
        <f>D11/$D$14</f>
        <v>5.1195007140567822E-2</v>
      </c>
      <c r="F11" s="233">
        <f>+Indices_2021!$E$22</f>
        <v>0.23138351126052559</v>
      </c>
      <c r="G11" s="234">
        <f t="shared" si="1"/>
        <v>1.1845680511192263E-2</v>
      </c>
    </row>
    <row r="12" spans="2:8" s="45" customFormat="1" ht="29.4" customHeight="1" x14ac:dyDescent="0.3">
      <c r="B12" s="235" t="s">
        <v>125</v>
      </c>
      <c r="C12" s="235" t="s">
        <v>126</v>
      </c>
      <c r="D12" s="240">
        <v>443181040.93777156</v>
      </c>
      <c r="E12" s="233">
        <f t="shared" si="0"/>
        <v>0.29318432487113771</v>
      </c>
      <c r="F12" s="233">
        <f>+F11</f>
        <v>0.23138351126052559</v>
      </c>
      <c r="G12" s="234">
        <f t="shared" si="1"/>
        <v>6.7838018535230485E-2</v>
      </c>
    </row>
    <row r="13" spans="2:8" s="45" customFormat="1" ht="18" customHeight="1" x14ac:dyDescent="0.3">
      <c r="B13" s="235" t="s">
        <v>127</v>
      </c>
      <c r="C13" s="235" t="s">
        <v>128</v>
      </c>
      <c r="D13" s="239">
        <v>298091415.30246508</v>
      </c>
      <c r="E13" s="233">
        <f t="shared" si="0"/>
        <v>0.19720096816507696</v>
      </c>
      <c r="F13" s="236">
        <f>+Indices_2021!$D$22</f>
        <v>4.517456886424509E-2</v>
      </c>
      <c r="G13" s="234">
        <f t="shared" si="1"/>
        <v>8.9084687164690726E-3</v>
      </c>
    </row>
    <row r="14" spans="2:8" s="45" customFormat="1" ht="18" customHeight="1" x14ac:dyDescent="0.3">
      <c r="B14" s="235"/>
      <c r="C14" s="280" t="s">
        <v>32</v>
      </c>
      <c r="D14" s="281">
        <f>SUM(D9:D13)</f>
        <v>1511612331.7048459</v>
      </c>
      <c r="E14" s="233">
        <f>SUM(E9:E13)</f>
        <v>1.0000000000000002</v>
      </c>
      <c r="F14" s="237"/>
      <c r="G14" s="237">
        <f>SUM(G9:G13)</f>
        <v>9.7778127666879391E-2</v>
      </c>
    </row>
    <row r="15" spans="2:8" s="45" customFormat="1" ht="30" customHeight="1" x14ac:dyDescent="0.3">
      <c r="B15" s="328" t="s">
        <v>129</v>
      </c>
      <c r="C15" s="328"/>
      <c r="D15" s="328"/>
      <c r="E15" s="328"/>
      <c r="F15" s="329"/>
      <c r="G15" s="238">
        <f>SUM(G9:G13)</f>
        <v>9.7778127666879391E-2</v>
      </c>
    </row>
    <row r="16" spans="2:8" s="45" customFormat="1" ht="30" customHeight="1" x14ac:dyDescent="0.25">
      <c r="B16" s="85" t="s">
        <v>130</v>
      </c>
      <c r="D16" s="1"/>
      <c r="E16" s="282">
        <f>SUM(E11:E12)</f>
        <v>0.34437933201170556</v>
      </c>
      <c r="F16" s="193"/>
      <c r="G16" s="1"/>
    </row>
    <row r="17" spans="1:12" s="1" customFormat="1" ht="13.8" x14ac:dyDescent="0.25"/>
    <row r="18" spans="1:12" x14ac:dyDescent="0.3">
      <c r="B18" s="325" t="s">
        <v>131</v>
      </c>
      <c r="C18" s="326"/>
      <c r="I18" s="36"/>
      <c r="J18" s="36"/>
      <c r="K18" s="36"/>
      <c r="L18" s="36"/>
    </row>
    <row r="19" spans="1:12" x14ac:dyDescent="0.3">
      <c r="A19" s="45"/>
      <c r="B19" s="228" t="s">
        <v>132</v>
      </c>
      <c r="C19" s="233">
        <f>+G15</f>
        <v>9.7778127666879391E-2</v>
      </c>
      <c r="D19" s="45"/>
      <c r="E19" s="45"/>
      <c r="F19" s="45"/>
      <c r="G19" s="45"/>
      <c r="I19" s="36"/>
      <c r="L19" s="36"/>
    </row>
    <row r="20" spans="1:12" x14ac:dyDescent="0.3">
      <c r="A20" s="45"/>
      <c r="B20" s="228" t="s">
        <v>133</v>
      </c>
      <c r="C20" s="233">
        <v>1.8599999999999998E-2</v>
      </c>
      <c r="D20" s="45"/>
      <c r="E20" s="45"/>
      <c r="F20" s="45"/>
      <c r="G20" s="45"/>
      <c r="I20" s="37"/>
      <c r="L20" s="36"/>
    </row>
    <row r="21" spans="1:12" x14ac:dyDescent="0.3">
      <c r="A21" s="45"/>
      <c r="B21" s="260" t="s">
        <v>134</v>
      </c>
      <c r="C21" s="261">
        <f>C19-C20</f>
        <v>7.91781276668794E-2</v>
      </c>
      <c r="D21" s="45"/>
      <c r="E21" s="45"/>
      <c r="F21" s="45"/>
      <c r="G21" s="45"/>
    </row>
    <row r="22" spans="1:12" x14ac:dyDescent="0.3">
      <c r="B22" s="262"/>
      <c r="C22" s="262"/>
    </row>
    <row r="23" spans="1:12" x14ac:dyDescent="0.3">
      <c r="B23" s="323" t="s">
        <v>135</v>
      </c>
      <c r="C23" s="324"/>
    </row>
    <row r="24" spans="1:12" ht="15.6" x14ac:dyDescent="0.3">
      <c r="B24" s="228" t="s">
        <v>136</v>
      </c>
      <c r="C24" s="227">
        <f>+'RTA 2021'!D21</f>
        <v>4.9089312407455203</v>
      </c>
    </row>
    <row r="25" spans="1:12" ht="15.6" x14ac:dyDescent="0.3">
      <c r="B25" s="228" t="s">
        <v>137</v>
      </c>
      <c r="C25" s="227">
        <f>C24*(1+C21)</f>
        <v>5.2976112252332026</v>
      </c>
    </row>
    <row r="27" spans="1:12" x14ac:dyDescent="0.3">
      <c r="C27" s="99"/>
    </row>
    <row r="28" spans="1:12" x14ac:dyDescent="0.3">
      <c r="B28" s="166"/>
      <c r="C28" s="167"/>
    </row>
    <row r="29" spans="1:12" x14ac:dyDescent="0.3">
      <c r="B29" s="166"/>
      <c r="C29" s="168"/>
    </row>
    <row r="30" spans="1:12" x14ac:dyDescent="0.3">
      <c r="B30" s="166"/>
      <c r="C30" s="167"/>
    </row>
    <row r="31" spans="1:12" x14ac:dyDescent="0.3">
      <c r="B31" s="166"/>
      <c r="C31" s="169"/>
    </row>
    <row r="37" spans="4:4" x14ac:dyDescent="0.3">
      <c r="D37" s="101" t="s">
        <v>138</v>
      </c>
    </row>
    <row r="38" spans="4:4" x14ac:dyDescent="0.3">
      <c r="D38" s="101" t="s">
        <v>139</v>
      </c>
    </row>
    <row r="39" spans="4:4" x14ac:dyDescent="0.3">
      <c r="D39" s="101" t="s">
        <v>140</v>
      </c>
    </row>
    <row r="40" spans="4:4" x14ac:dyDescent="0.3">
      <c r="D40" s="101" t="s">
        <v>141</v>
      </c>
    </row>
    <row r="41" spans="4:4" x14ac:dyDescent="0.3">
      <c r="D41" s="101" t="s">
        <v>142</v>
      </c>
    </row>
  </sheetData>
  <mergeCells count="5">
    <mergeCell ref="B18:C18"/>
    <mergeCell ref="B23:C23"/>
    <mergeCell ref="B7:G7"/>
    <mergeCell ref="C3:G3"/>
    <mergeCell ref="B15:F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D424-1D99-4E1C-A73A-D3E1BA14DB4D}">
  <sheetPr>
    <tabColor rgb="FF002060"/>
  </sheetPr>
  <dimension ref="B2:Z26"/>
  <sheetViews>
    <sheetView showGridLines="0" zoomScale="110" zoomScaleNormal="110" workbookViewId="0">
      <selection activeCell="I14" sqref="I14"/>
    </sheetView>
  </sheetViews>
  <sheetFormatPr defaultRowHeight="14.4" x14ac:dyDescent="0.3"/>
  <cols>
    <col min="1" max="1" width="6" customWidth="1"/>
    <col min="2" max="2" width="15.6640625" customWidth="1"/>
    <col min="3" max="3" width="16" customWidth="1"/>
    <col min="4" max="4" width="6.33203125" customWidth="1"/>
    <col min="5" max="5" width="16" style="50" customWidth="1"/>
    <col min="6" max="8" width="12.5546875" customWidth="1"/>
    <col min="9" max="9" width="11.33203125" customWidth="1"/>
    <col min="10" max="10" width="12.88671875" customWidth="1"/>
    <col min="11" max="11" width="14.109375" customWidth="1"/>
    <col min="12" max="12" width="25" bestFit="1" customWidth="1"/>
    <col min="13" max="13" width="10.88671875" customWidth="1"/>
    <col min="14" max="27" width="17.5546875" customWidth="1"/>
    <col min="28" max="28" width="13.33203125" bestFit="1" customWidth="1"/>
    <col min="29" max="29" width="14.33203125" bestFit="1" customWidth="1"/>
  </cols>
  <sheetData>
    <row r="2" spans="2:26" ht="17.399999999999999" x14ac:dyDescent="0.3">
      <c r="E2" s="297" t="s">
        <v>143</v>
      </c>
      <c r="F2" s="297"/>
      <c r="G2" s="297"/>
      <c r="H2" s="297"/>
      <c r="I2" s="297"/>
      <c r="J2" s="297"/>
    </row>
    <row r="5" spans="2:26" x14ac:dyDescent="0.3">
      <c r="E5" s="330">
        <v>2020</v>
      </c>
      <c r="F5" s="330"/>
      <c r="G5" s="330"/>
      <c r="H5" s="330"/>
      <c r="I5" s="330"/>
      <c r="J5" s="330"/>
      <c r="L5" s="331" t="s">
        <v>144</v>
      </c>
      <c r="M5" s="332" t="str">
        <f>UPPER("UN")</f>
        <v>UN</v>
      </c>
      <c r="N5" s="335">
        <v>2020</v>
      </c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7"/>
    </row>
    <row r="6" spans="2:26" x14ac:dyDescent="0.3">
      <c r="E6" s="51" t="s">
        <v>145</v>
      </c>
      <c r="F6" s="51" t="s">
        <v>146</v>
      </c>
      <c r="G6" s="51" t="s">
        <v>147</v>
      </c>
      <c r="H6" s="51" t="s">
        <v>148</v>
      </c>
      <c r="I6" s="51" t="s">
        <v>149</v>
      </c>
      <c r="J6" s="264" t="s">
        <v>150</v>
      </c>
      <c r="K6" s="133"/>
      <c r="L6" s="331"/>
      <c r="M6" s="332"/>
      <c r="N6" s="62" t="s">
        <v>151</v>
      </c>
      <c r="O6" s="62" t="s">
        <v>152</v>
      </c>
      <c r="P6" s="62" t="s">
        <v>153</v>
      </c>
      <c r="Q6" s="62" t="s">
        <v>154</v>
      </c>
      <c r="R6" s="62" t="s">
        <v>155</v>
      </c>
      <c r="S6" s="62" t="s">
        <v>156</v>
      </c>
      <c r="T6" s="62" t="s">
        <v>157</v>
      </c>
      <c r="U6" s="62" t="s">
        <v>158</v>
      </c>
      <c r="V6" s="62" t="s">
        <v>159</v>
      </c>
      <c r="W6" s="62" t="s">
        <v>160</v>
      </c>
      <c r="X6" s="62" t="s">
        <v>161</v>
      </c>
      <c r="Y6" s="62" t="s">
        <v>162</v>
      </c>
      <c r="Z6" s="62" t="s">
        <v>163</v>
      </c>
    </row>
    <row r="7" spans="2:26" ht="15" customHeight="1" x14ac:dyDescent="0.3">
      <c r="E7" s="263" t="s">
        <v>164</v>
      </c>
      <c r="F7" s="267">
        <f>+N$19</f>
        <v>5673695.2194244694</v>
      </c>
      <c r="G7" s="267">
        <f t="shared" ref="G7:G18" si="0">$C$13*H7</f>
        <v>6674165.3328620745</v>
      </c>
      <c r="H7" s="95">
        <f>Volume_2020!D116</f>
        <v>27642589</v>
      </c>
      <c r="I7" s="203">
        <f>Indices_2021!D21/Indices_2021!D10-1</f>
        <v>4.2984795795491637E-2</v>
      </c>
      <c r="J7" s="265">
        <f>(F7-G7)*(1+I7)</f>
        <v>-1043475.1169632128</v>
      </c>
      <c r="K7" s="292"/>
      <c r="L7" s="53" t="s">
        <v>165</v>
      </c>
      <c r="M7" s="57" t="s">
        <v>166</v>
      </c>
      <c r="N7" s="158">
        <v>140792412.06999999</v>
      </c>
      <c r="O7" s="158">
        <v>139483900.99000001</v>
      </c>
      <c r="P7" s="158">
        <v>158191125.40000001</v>
      </c>
      <c r="Q7" s="158">
        <v>143871377.93000001</v>
      </c>
      <c r="R7" s="159">
        <v>134339307.69</v>
      </c>
      <c r="S7" s="158">
        <v>138100001.62</v>
      </c>
      <c r="T7" s="158">
        <v>145876230.53</v>
      </c>
      <c r="U7" s="158">
        <v>152955326.68000001</v>
      </c>
      <c r="V7" s="158">
        <v>158079136.36000001</v>
      </c>
      <c r="W7" s="158">
        <v>161639104.38999999</v>
      </c>
      <c r="X7" s="158">
        <v>146670452.52000001</v>
      </c>
      <c r="Y7" s="158">
        <v>151511808.63999999</v>
      </c>
      <c r="Z7" s="158">
        <f>SUM(N7:Y7)</f>
        <v>1771510184.8199997</v>
      </c>
    </row>
    <row r="8" spans="2:26" ht="15" customHeight="1" x14ac:dyDescent="0.3">
      <c r="E8" s="263" t="s">
        <v>167</v>
      </c>
      <c r="F8" s="267">
        <f>O$19</f>
        <v>5409382.5863255886</v>
      </c>
      <c r="G8" s="267">
        <f t="shared" si="0"/>
        <v>6680573.7664666409</v>
      </c>
      <c r="H8" s="95">
        <f>Volume_2020!E$116</f>
        <v>27669131</v>
      </c>
      <c r="I8" s="203">
        <f>Indices_2021!D21/Indices_2021!D11-1</f>
        <v>4.038355395481541E-2</v>
      </c>
      <c r="J8" s="265">
        <f t="shared" ref="J8:J18" si="1">(F8-G8)*(1+I8)</f>
        <v>-1322526.3977511639</v>
      </c>
      <c r="K8" s="292"/>
      <c r="L8" s="63" t="s">
        <v>168</v>
      </c>
      <c r="M8" s="55" t="s">
        <v>169</v>
      </c>
      <c r="N8" s="124">
        <v>20769120</v>
      </c>
      <c r="O8" s="124">
        <v>19551398</v>
      </c>
      <c r="P8" s="124">
        <v>21014761</v>
      </c>
      <c r="Q8" s="124">
        <v>19970175</v>
      </c>
      <c r="R8" s="124">
        <v>20833763</v>
      </c>
      <c r="S8" s="124">
        <v>20464034</v>
      </c>
      <c r="T8" s="198">
        <v>21394985</v>
      </c>
      <c r="U8" s="124">
        <v>21721993</v>
      </c>
      <c r="V8" s="124">
        <v>21697413</v>
      </c>
      <c r="W8" s="124">
        <v>22408351</v>
      </c>
      <c r="X8" s="124">
        <v>20317685</v>
      </c>
      <c r="Y8" s="124">
        <v>21561021</v>
      </c>
      <c r="Z8" s="73">
        <f t="shared" ref="Z8:Z16" si="2">SUM(N8:Y8)</f>
        <v>251704699</v>
      </c>
    </row>
    <row r="9" spans="2:26" ht="15" customHeight="1" x14ac:dyDescent="0.3">
      <c r="B9" s="330" t="s">
        <v>170</v>
      </c>
      <c r="C9" s="330"/>
      <c r="E9" s="123" t="s">
        <v>171</v>
      </c>
      <c r="F9" s="95">
        <f>+P$19</f>
        <v>6467809.5969318729</v>
      </c>
      <c r="G9" s="95">
        <f t="shared" si="0"/>
        <v>6792490.5331116263</v>
      </c>
      <c r="H9" s="95">
        <f>Volume_2020!F$116</f>
        <v>28132660</v>
      </c>
      <c r="I9" s="203">
        <f>Indices_2021!D21/Indices_2021!D12-1</f>
        <v>3.9656052455926849E-2</v>
      </c>
      <c r="J9" s="265">
        <f t="shared" si="1"/>
        <v>-337556.5004163371</v>
      </c>
      <c r="K9" s="292"/>
      <c r="L9" s="63" t="s">
        <v>172</v>
      </c>
      <c r="M9" s="55" t="s">
        <v>169</v>
      </c>
      <c r="N9" s="124">
        <v>12731821</v>
      </c>
      <c r="O9" s="124">
        <v>12302868</v>
      </c>
      <c r="P9" s="124">
        <v>13741504</v>
      </c>
      <c r="Q9" s="124">
        <v>12389385</v>
      </c>
      <c r="R9" s="124">
        <v>11499499</v>
      </c>
      <c r="S9" s="124">
        <v>10745762</v>
      </c>
      <c r="T9" s="198">
        <v>10859147</v>
      </c>
      <c r="U9" s="124">
        <v>10598607</v>
      </c>
      <c r="V9" s="124">
        <v>10099065</v>
      </c>
      <c r="W9" s="124">
        <v>11581715</v>
      </c>
      <c r="X9" s="124">
        <v>11602541</v>
      </c>
      <c r="Y9" s="124">
        <v>12058129</v>
      </c>
      <c r="Z9" s="73">
        <f>SUM(N9:Y9)</f>
        <v>140210043</v>
      </c>
    </row>
    <row r="10" spans="2:26" ht="15" customHeight="1" x14ac:dyDescent="0.35">
      <c r="B10" s="51" t="s">
        <v>173</v>
      </c>
      <c r="C10" s="102">
        <f>C11/C12</f>
        <v>-2.6018832034175259E-4</v>
      </c>
      <c r="E10" s="263" t="s">
        <v>174</v>
      </c>
      <c r="F10" s="267">
        <f>+Q$19</f>
        <v>5509628.7704795748</v>
      </c>
      <c r="G10" s="267">
        <f t="shared" si="0"/>
        <v>6903085.1468510795</v>
      </c>
      <c r="H10" s="95">
        <f>Volume_2020!G$116</f>
        <v>28590713</v>
      </c>
      <c r="I10" s="203">
        <f>Indices_2021!D21/Indices_2021!D13-1</f>
        <v>4.2888945987460403E-2</v>
      </c>
      <c r="J10" s="265">
        <f t="shared" si="1"/>
        <v>-1453220.2516335845</v>
      </c>
      <c r="K10" s="292"/>
      <c r="L10" s="196" t="s">
        <v>175</v>
      </c>
      <c r="M10" s="58" t="s">
        <v>169</v>
      </c>
      <c r="N10" s="197">
        <f>SUM(N8:N9)</f>
        <v>33500941</v>
      </c>
      <c r="O10" s="197">
        <f t="shared" ref="O10:Z10" si="3">SUM(O8:O9)</f>
        <v>31854266</v>
      </c>
      <c r="P10" s="197">
        <f t="shared" si="3"/>
        <v>34756265</v>
      </c>
      <c r="Q10" s="197">
        <f t="shared" si="3"/>
        <v>32359560</v>
      </c>
      <c r="R10" s="197">
        <f t="shared" si="3"/>
        <v>32333262</v>
      </c>
      <c r="S10" s="197">
        <f t="shared" si="3"/>
        <v>31209796</v>
      </c>
      <c r="T10" s="199">
        <f t="shared" si="3"/>
        <v>32254132</v>
      </c>
      <c r="U10" s="197">
        <f t="shared" si="3"/>
        <v>32320600</v>
      </c>
      <c r="V10" s="197">
        <f t="shared" si="3"/>
        <v>31796478</v>
      </c>
      <c r="W10" s="197">
        <f t="shared" si="3"/>
        <v>33990066</v>
      </c>
      <c r="X10" s="197">
        <f t="shared" si="3"/>
        <v>31920226</v>
      </c>
      <c r="Y10" s="197">
        <f t="shared" si="3"/>
        <v>33619150</v>
      </c>
      <c r="Z10" s="197">
        <f t="shared" si="3"/>
        <v>391914742</v>
      </c>
    </row>
    <row r="11" spans="2:26" ht="15" customHeight="1" x14ac:dyDescent="0.3">
      <c r="B11" s="291" t="s">
        <v>150</v>
      </c>
      <c r="C11" s="103">
        <f>+J19</f>
        <v>-80120.061639818945</v>
      </c>
      <c r="E11" s="263" t="s">
        <v>176</v>
      </c>
      <c r="F11" s="267">
        <f>+R$19</f>
        <v>5619325.2355527394</v>
      </c>
      <c r="G11" s="267">
        <f t="shared" si="0"/>
        <v>6131688.361883807</v>
      </c>
      <c r="H11" s="95">
        <f>Volume_2020!I$116</f>
        <v>25395796</v>
      </c>
      <c r="I11" s="203">
        <f>Indices_2021!D21/Indices_2021!D14-1</f>
        <v>4.6866792804495905E-2</v>
      </c>
      <c r="J11" s="265">
        <f t="shared" si="1"/>
        <v>-536375.94281348959</v>
      </c>
      <c r="K11" s="292"/>
      <c r="L11" s="64" t="s">
        <v>177</v>
      </c>
      <c r="M11" s="290" t="s">
        <v>169</v>
      </c>
      <c r="N11" s="124">
        <f>Volume_2020!D52</f>
        <v>15123844</v>
      </c>
      <c r="O11" s="124">
        <f>Volume_2020!E52</f>
        <v>14890003</v>
      </c>
      <c r="P11" s="124">
        <f>Volume_2020!F52</f>
        <v>15134843</v>
      </c>
      <c r="Q11" s="124">
        <f>Volume_2020!G52</f>
        <v>15399921</v>
      </c>
      <c r="R11" s="124">
        <f>Volume_2020!I52</f>
        <v>13710552</v>
      </c>
      <c r="S11" s="124">
        <f>Volume_2020!J52</f>
        <v>12426955</v>
      </c>
      <c r="T11" s="124">
        <f>Volume_2020!K52</f>
        <v>12931372</v>
      </c>
      <c r="U11" s="124">
        <f>Volume_2020!L52</f>
        <v>13425746</v>
      </c>
      <c r="V11" s="124">
        <f>Volume_2020!M52</f>
        <v>13649624</v>
      </c>
      <c r="W11" s="124">
        <f>Volume_2020!N52</f>
        <v>13923730</v>
      </c>
      <c r="X11" s="124">
        <f>Volume_2020!O52</f>
        <v>12813471</v>
      </c>
      <c r="Y11" s="124">
        <f>Volume_2020!P52</f>
        <v>13039997</v>
      </c>
      <c r="Z11" s="181">
        <f>SUM(N11:Y11)</f>
        <v>166470058</v>
      </c>
    </row>
    <row r="12" spans="2:26" ht="15" customHeight="1" x14ac:dyDescent="0.3">
      <c r="B12" s="291" t="s">
        <v>148</v>
      </c>
      <c r="C12" s="103">
        <f>+H19</f>
        <v>307931046</v>
      </c>
      <c r="E12" s="263" t="s">
        <v>178</v>
      </c>
      <c r="F12" s="267">
        <f>+S$19</f>
        <v>6077148.9321160261</v>
      </c>
      <c r="G12" s="267">
        <f t="shared" si="0"/>
        <v>5539888.2787797879</v>
      </c>
      <c r="H12" s="95">
        <f>Volume_2020!J$116</f>
        <v>22944720</v>
      </c>
      <c r="I12" s="203">
        <f>Indices_2021!D21/Indices_2021!D15-1</f>
        <v>4.4152054470411928E-2</v>
      </c>
      <c r="J12" s="265">
        <f t="shared" si="1"/>
        <v>560981.81496714882</v>
      </c>
      <c r="K12" s="292"/>
      <c r="L12" s="64" t="s">
        <v>179</v>
      </c>
      <c r="M12" s="290" t="s">
        <v>169</v>
      </c>
      <c r="N12" s="124">
        <f>Volume_2020!D84</f>
        <v>12518745</v>
      </c>
      <c r="O12" s="124">
        <f>Volume_2020!E84</f>
        <v>12779128</v>
      </c>
      <c r="P12" s="124">
        <f>Volume_2020!F84</f>
        <v>12997817</v>
      </c>
      <c r="Q12" s="124">
        <f>Volume_2020!G84</f>
        <v>13190792</v>
      </c>
      <c r="R12" s="124">
        <f>Volume_2020!I84</f>
        <v>11685244</v>
      </c>
      <c r="S12" s="124">
        <f>Volume_2020!J84</f>
        <v>10517765</v>
      </c>
      <c r="T12" s="124">
        <f>Volume_2020!K84</f>
        <v>10918870</v>
      </c>
      <c r="U12" s="124">
        <f>Volume_2020!L84</f>
        <v>11319944</v>
      </c>
      <c r="V12" s="124">
        <f>Volume_2020!M84</f>
        <v>11520198</v>
      </c>
      <c r="W12" s="124">
        <f>Volume_2020!N84</f>
        <v>11808919</v>
      </c>
      <c r="X12" s="124">
        <f>Volume_2020!O84</f>
        <v>10996002</v>
      </c>
      <c r="Y12" s="124">
        <f>Volume_2020!P84</f>
        <v>11207564</v>
      </c>
      <c r="Z12" s="181">
        <f t="shared" si="2"/>
        <v>141460988</v>
      </c>
    </row>
    <row r="13" spans="2:26" ht="15" customHeight="1" x14ac:dyDescent="0.35">
      <c r="B13" s="291" t="s">
        <v>180</v>
      </c>
      <c r="C13" s="75">
        <f>Z19/C12</f>
        <v>0.24144501561927048</v>
      </c>
      <c r="E13" s="263" t="s">
        <v>181</v>
      </c>
      <c r="F13" s="267">
        <f>+T$19</f>
        <v>6390694.6470945301</v>
      </c>
      <c r="G13" s="267">
        <f t="shared" si="0"/>
        <v>5758522.052213381</v>
      </c>
      <c r="H13" s="95">
        <f>Volume_2020!K$116</f>
        <v>23850242</v>
      </c>
      <c r="I13" s="203">
        <f>Indices_2021!D21/Indices_2021!D16-1</f>
        <v>4.0406913107174924E-2</v>
      </c>
      <c r="J13" s="265">
        <f t="shared" si="1"/>
        <v>657716.73799124884</v>
      </c>
      <c r="K13" s="292"/>
      <c r="L13" s="56" t="s">
        <v>182</v>
      </c>
      <c r="M13" s="58" t="s">
        <v>169</v>
      </c>
      <c r="N13" s="197">
        <f>SUM(N11:N12)</f>
        <v>27642589</v>
      </c>
      <c r="O13" s="197">
        <f>SUM(O11:O12)</f>
        <v>27669131</v>
      </c>
      <c r="P13" s="197">
        <f t="shared" ref="P13:Z13" si="4">P11+P12</f>
        <v>28132660</v>
      </c>
      <c r="Q13" s="197">
        <f t="shared" si="4"/>
        <v>28590713</v>
      </c>
      <c r="R13" s="197">
        <f t="shared" si="4"/>
        <v>25395796</v>
      </c>
      <c r="S13" s="197">
        <f t="shared" si="4"/>
        <v>22944720</v>
      </c>
      <c r="T13" s="197">
        <f t="shared" si="4"/>
        <v>23850242</v>
      </c>
      <c r="U13" s="197">
        <f t="shared" si="4"/>
        <v>24745690</v>
      </c>
      <c r="V13" s="197">
        <f t="shared" si="4"/>
        <v>25169822</v>
      </c>
      <c r="W13" s="197">
        <f t="shared" si="4"/>
        <v>25732649</v>
      </c>
      <c r="X13" s="197">
        <f t="shared" si="4"/>
        <v>23809473</v>
      </c>
      <c r="Y13" s="197">
        <f t="shared" si="4"/>
        <v>24247561</v>
      </c>
      <c r="Z13" s="197">
        <f t="shared" si="4"/>
        <v>307931046</v>
      </c>
    </row>
    <row r="14" spans="2:26" ht="15" customHeight="1" x14ac:dyDescent="0.3">
      <c r="E14" s="263" t="s">
        <v>183</v>
      </c>
      <c r="F14" s="267">
        <f>U$19</f>
        <v>6523966.3661049791</v>
      </c>
      <c r="G14" s="267">
        <f t="shared" si="0"/>
        <v>5974723.5085596256</v>
      </c>
      <c r="H14" s="95">
        <f>Volume_2020!L$116</f>
        <v>24745690</v>
      </c>
      <c r="I14" s="203">
        <f>Indices_2021!D21/Indices_2021!D17-1</f>
        <v>3.7915355410959695E-2</v>
      </c>
      <c r="J14" s="265">
        <f t="shared" si="1"/>
        <v>570067.59569611668</v>
      </c>
      <c r="K14" s="292"/>
      <c r="L14" s="56" t="s">
        <v>184</v>
      </c>
      <c r="M14" s="58" t="s">
        <v>185</v>
      </c>
      <c r="N14" s="74">
        <f>N7/N13</f>
        <v>5.0933149593911047</v>
      </c>
      <c r="O14" s="74">
        <f t="shared" ref="O14:Z14" si="5">O7/O13</f>
        <v>5.0411377570911071</v>
      </c>
      <c r="P14" s="74">
        <f t="shared" si="5"/>
        <v>5.6230418808601819</v>
      </c>
      <c r="Q14" s="74">
        <f t="shared" si="5"/>
        <v>5.0321017852895098</v>
      </c>
      <c r="R14" s="74">
        <f t="shared" si="5"/>
        <v>5.2898246501113801</v>
      </c>
      <c r="S14" s="74">
        <f t="shared" si="5"/>
        <v>6.018813985091124</v>
      </c>
      <c r="T14" s="74">
        <f t="shared" si="5"/>
        <v>6.1163417348134246</v>
      </c>
      <c r="U14" s="74">
        <f>U7/U13</f>
        <v>6.1810895828728158</v>
      </c>
      <c r="V14" s="74">
        <f t="shared" si="5"/>
        <v>6.2805027528601522</v>
      </c>
      <c r="W14" s="74">
        <f t="shared" si="5"/>
        <v>6.2814793918029963</v>
      </c>
      <c r="X14" s="74">
        <f t="shared" si="5"/>
        <v>6.1601721516473722</v>
      </c>
      <c r="Y14" s="74">
        <f t="shared" si="5"/>
        <v>6.2485380958521963</v>
      </c>
      <c r="Z14" s="74">
        <f t="shared" si="5"/>
        <v>5.7529443939861773</v>
      </c>
    </row>
    <row r="15" spans="2:26" ht="15" customHeight="1" x14ac:dyDescent="0.3">
      <c r="B15" s="179"/>
      <c r="C15" s="180"/>
      <c r="E15" s="263" t="s">
        <v>186</v>
      </c>
      <c r="F15" s="267">
        <f>V$19</f>
        <v>6573238.0538564324</v>
      </c>
      <c r="G15" s="267">
        <f t="shared" si="0"/>
        <v>6077128.065924258</v>
      </c>
      <c r="H15" s="95">
        <f>Volume_2020!M$116</f>
        <v>25169822</v>
      </c>
      <c r="I15" s="203">
        <f>Indices_2021!D21/Indices_2021!D18-1</f>
        <v>3.1314508276533592E-2</v>
      </c>
      <c r="J15" s="265">
        <f t="shared" si="1"/>
        <v>511645.42825534754</v>
      </c>
      <c r="K15" s="292"/>
      <c r="L15" s="65" t="s">
        <v>187</v>
      </c>
      <c r="M15" s="54" t="s">
        <v>166</v>
      </c>
      <c r="N15" s="182">
        <f>N7</f>
        <v>140792412.06999999</v>
      </c>
      <c r="O15" s="182">
        <f t="shared" ref="O15:X15" si="6">O7</f>
        <v>139483900.99000001</v>
      </c>
      <c r="P15" s="182">
        <f t="shared" si="6"/>
        <v>158191125.40000001</v>
      </c>
      <c r="Q15" s="182">
        <f t="shared" si="6"/>
        <v>143871377.93000001</v>
      </c>
      <c r="R15" s="182">
        <f t="shared" si="6"/>
        <v>134339307.69</v>
      </c>
      <c r="S15" s="182">
        <f t="shared" si="6"/>
        <v>138100001.62</v>
      </c>
      <c r="T15" s="182">
        <f t="shared" si="6"/>
        <v>145876230.53</v>
      </c>
      <c r="U15" s="182">
        <f t="shared" si="6"/>
        <v>152955326.68000001</v>
      </c>
      <c r="V15" s="182">
        <f t="shared" si="6"/>
        <v>158079136.36000001</v>
      </c>
      <c r="W15" s="182">
        <f t="shared" si="6"/>
        <v>161639104.38999999</v>
      </c>
      <c r="X15" s="182">
        <f t="shared" si="6"/>
        <v>146670452.52000001</v>
      </c>
      <c r="Y15" s="182">
        <f>Y7</f>
        <v>151511808.63999999</v>
      </c>
      <c r="Z15" s="182">
        <f t="shared" si="2"/>
        <v>1771510184.8199997</v>
      </c>
    </row>
    <row r="16" spans="2:26" ht="15" customHeight="1" x14ac:dyDescent="0.3">
      <c r="C16" s="284"/>
      <c r="E16" s="263" t="s">
        <v>188</v>
      </c>
      <c r="F16" s="267">
        <f>W$19</f>
        <v>6954088.5215255935</v>
      </c>
      <c r="G16" s="267">
        <f t="shared" si="0"/>
        <v>6213019.839730205</v>
      </c>
      <c r="H16" s="95">
        <f>Volume_2020!N$116</f>
        <v>25732649</v>
      </c>
      <c r="I16" s="203">
        <f>Indices_2021!D21/Indices_2021!D19-1</f>
        <v>2.2520650518929486E-2</v>
      </c>
      <c r="J16" s="265">
        <f t="shared" si="1"/>
        <v>757758.03058862616</v>
      </c>
      <c r="K16" s="292"/>
      <c r="L16" s="65" t="s">
        <v>189</v>
      </c>
      <c r="M16" s="54" t="s">
        <v>166</v>
      </c>
      <c r="N16" s="182">
        <f>N10*N14</f>
        <v>170630843.94897878</v>
      </c>
      <c r="O16" s="182">
        <f t="shared" ref="O16:X16" si="7">O10*O14</f>
        <v>160581743.05702353</v>
      </c>
      <c r="P16" s="182">
        <f t="shared" si="7"/>
        <v>195435933.7172749</v>
      </c>
      <c r="Q16" s="182">
        <f t="shared" si="7"/>
        <v>162836599.647183</v>
      </c>
      <c r="R16" s="182">
        <f t="shared" si="7"/>
        <v>171037286.34610957</v>
      </c>
      <c r="S16" s="182">
        <f t="shared" si="7"/>
        <v>187845956.63664103</v>
      </c>
      <c r="T16" s="182">
        <f t="shared" si="7"/>
        <v>197277293.67178118</v>
      </c>
      <c r="U16" s="182">
        <f t="shared" si="7"/>
        <v>199776523.97219914</v>
      </c>
      <c r="V16" s="182">
        <f t="shared" si="7"/>
        <v>199697867.61025727</v>
      </c>
      <c r="W16" s="182">
        <f t="shared" si="7"/>
        <v>213507899.10502371</v>
      </c>
      <c r="X16" s="182">
        <f t="shared" si="7"/>
        <v>196634087.27949038</v>
      </c>
      <c r="Y16" s="182">
        <f>Y10*Y14</f>
        <v>210070539.52516937</v>
      </c>
      <c r="Z16" s="182">
        <f t="shared" si="2"/>
        <v>2265332574.5171318</v>
      </c>
    </row>
    <row r="17" spans="2:26" ht="15" customHeight="1" x14ac:dyDescent="0.3">
      <c r="E17" s="263" t="s">
        <v>190</v>
      </c>
      <c r="F17" s="267">
        <f>X$19</f>
        <v>6382556.7071872596</v>
      </c>
      <c r="G17" s="267">
        <f t="shared" si="0"/>
        <v>5748678.5803715987</v>
      </c>
      <c r="H17" s="95">
        <f>Volume_2020!O$116</f>
        <v>23809473</v>
      </c>
      <c r="I17" s="203">
        <f>Indices_2021!D21/Indices_2021!D20-1</f>
        <v>1.3500360884495022E-2</v>
      </c>
      <c r="J17" s="265">
        <f t="shared" si="1"/>
        <v>642435.71028445999</v>
      </c>
      <c r="K17" s="292"/>
      <c r="L17" s="61" t="s">
        <v>191</v>
      </c>
      <c r="M17" s="66" t="s">
        <v>166</v>
      </c>
      <c r="N17" s="183">
        <f t="shared" ref="N17:X17" si="8">(N10*N14)*2.5%</f>
        <v>4265771.0987244695</v>
      </c>
      <c r="O17" s="183">
        <f t="shared" si="8"/>
        <v>4014543.5764255882</v>
      </c>
      <c r="P17" s="183">
        <f t="shared" si="8"/>
        <v>4885898.3429318732</v>
      </c>
      <c r="Q17" s="183">
        <f t="shared" si="8"/>
        <v>4070914.9911795752</v>
      </c>
      <c r="R17" s="183">
        <f t="shared" si="8"/>
        <v>4275932.1586527396</v>
      </c>
      <c r="S17" s="183">
        <f t="shared" si="8"/>
        <v>4696148.9159160256</v>
      </c>
      <c r="T17" s="183">
        <f t="shared" si="8"/>
        <v>4931932.3417945299</v>
      </c>
      <c r="U17" s="183">
        <f t="shared" si="8"/>
        <v>4994413.0993049787</v>
      </c>
      <c r="V17" s="183">
        <f t="shared" si="8"/>
        <v>4992446.6902564317</v>
      </c>
      <c r="W17" s="183">
        <f t="shared" si="8"/>
        <v>5337697.4776255935</v>
      </c>
      <c r="X17" s="183">
        <f t="shared" si="8"/>
        <v>4915852.1819872595</v>
      </c>
      <c r="Y17" s="183">
        <f>(Y10*Y14)*2.5%</f>
        <v>5251763.4881292349</v>
      </c>
      <c r="Z17" s="184">
        <f>SUM(N17:Y17)</f>
        <v>56633314.362928294</v>
      </c>
    </row>
    <row r="18" spans="2:26" ht="15" customHeight="1" x14ac:dyDescent="0.3">
      <c r="E18" s="263" t="s">
        <v>192</v>
      </c>
      <c r="F18" s="267">
        <f>Y$19</f>
        <v>6766881.5745292343</v>
      </c>
      <c r="G18" s="267">
        <f t="shared" si="0"/>
        <v>5854452.7443742137</v>
      </c>
      <c r="H18" s="95">
        <f>Volume_2020!P$116</f>
        <v>24247561</v>
      </c>
      <c r="I18" s="203">
        <f>Indices_2021!D21/Indices_2021!D21-1</f>
        <v>0</v>
      </c>
      <c r="J18" s="265">
        <f t="shared" si="1"/>
        <v>912428.83015502058</v>
      </c>
      <c r="K18" s="292"/>
      <c r="L18" s="67" t="s">
        <v>193</v>
      </c>
      <c r="M18" s="68" t="s">
        <v>166</v>
      </c>
      <c r="N18" s="185">
        <f t="shared" ref="N18:X18" si="9">(N13*N14)*1%</f>
        <v>1407924.1206999999</v>
      </c>
      <c r="O18" s="185">
        <f t="shared" si="9"/>
        <v>1394839.0099000002</v>
      </c>
      <c r="P18" s="185">
        <f t="shared" si="9"/>
        <v>1581911.2540000002</v>
      </c>
      <c r="Q18" s="185">
        <f t="shared" si="9"/>
        <v>1438713.7793000001</v>
      </c>
      <c r="R18" s="185">
        <f t="shared" si="9"/>
        <v>1343393.0769</v>
      </c>
      <c r="S18" s="185">
        <f t="shared" si="9"/>
        <v>1381000.0162000002</v>
      </c>
      <c r="T18" s="185">
        <f t="shared" si="9"/>
        <v>1458762.3053000001</v>
      </c>
      <c r="U18" s="185">
        <f t="shared" si="9"/>
        <v>1529553.2668000001</v>
      </c>
      <c r="V18" s="185">
        <f t="shared" si="9"/>
        <v>1580791.3636000003</v>
      </c>
      <c r="W18" s="185">
        <f t="shared" si="9"/>
        <v>1616391.0438999999</v>
      </c>
      <c r="X18" s="185">
        <f t="shared" si="9"/>
        <v>1466704.5252</v>
      </c>
      <c r="Y18" s="185">
        <f>(Y13*Y14)*1%</f>
        <v>1515118.0863999999</v>
      </c>
      <c r="Z18" s="186">
        <f>SUM(N18:Y18)</f>
        <v>17715101.848200001</v>
      </c>
    </row>
    <row r="19" spans="2:26" x14ac:dyDescent="0.3">
      <c r="C19" s="283"/>
      <c r="E19" s="291" t="s">
        <v>163</v>
      </c>
      <c r="F19" s="96">
        <f>SUM(F7:F18)</f>
        <v>74348416.211128309</v>
      </c>
      <c r="G19" s="96">
        <f>SUM(G7:G18)</f>
        <v>74348416.211128294</v>
      </c>
      <c r="H19" s="96">
        <f>SUM(H7:H18)</f>
        <v>307931046</v>
      </c>
      <c r="I19" s="96"/>
      <c r="J19" s="266">
        <f>SUM(J7:J18)</f>
        <v>-80120.061639818945</v>
      </c>
      <c r="K19" s="133"/>
      <c r="L19" s="338" t="s">
        <v>32</v>
      </c>
      <c r="M19" s="338"/>
      <c r="N19" s="187">
        <f>+N18+N17</f>
        <v>5673695.2194244694</v>
      </c>
      <c r="O19" s="187">
        <f>+O18+O17</f>
        <v>5409382.5863255886</v>
      </c>
      <c r="P19" s="187">
        <f t="shared" ref="P19:X19" si="10">+P18+P17</f>
        <v>6467809.5969318729</v>
      </c>
      <c r="Q19" s="187">
        <f t="shared" si="10"/>
        <v>5509628.7704795748</v>
      </c>
      <c r="R19" s="187">
        <f t="shared" si="10"/>
        <v>5619325.2355527394</v>
      </c>
      <c r="S19" s="187">
        <f t="shared" si="10"/>
        <v>6077148.9321160261</v>
      </c>
      <c r="T19" s="187">
        <f t="shared" si="10"/>
        <v>6390694.6470945301</v>
      </c>
      <c r="U19" s="187">
        <f t="shared" si="10"/>
        <v>6523966.3661049791</v>
      </c>
      <c r="V19" s="187">
        <f t="shared" si="10"/>
        <v>6573238.0538564324</v>
      </c>
      <c r="W19" s="187">
        <f t="shared" si="10"/>
        <v>6954088.5215255935</v>
      </c>
      <c r="X19" s="187">
        <f t="shared" si="10"/>
        <v>6382556.7071872596</v>
      </c>
      <c r="Y19" s="187">
        <f>+Y18+Y17</f>
        <v>6766881.5745292343</v>
      </c>
      <c r="Z19" s="187">
        <f>+Z18+Z17</f>
        <v>74348416.211128294</v>
      </c>
    </row>
    <row r="20" spans="2:26" x14ac:dyDescent="0.3">
      <c r="E20" s="86" t="s">
        <v>194</v>
      </c>
      <c r="G20" s="34"/>
      <c r="J20" s="100"/>
      <c r="K20" s="133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2:26" x14ac:dyDescent="0.3">
      <c r="E21" s="334" t="s">
        <v>195</v>
      </c>
      <c r="F21" s="334"/>
      <c r="G21" s="334"/>
      <c r="H21" s="334"/>
      <c r="I21" s="334"/>
      <c r="J21" s="334"/>
      <c r="L21" s="133"/>
      <c r="M21" s="13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88"/>
    </row>
    <row r="22" spans="2:26" x14ac:dyDescent="0.3">
      <c r="E22" s="334"/>
      <c r="F22" s="334"/>
      <c r="G22" s="334"/>
      <c r="H22" s="334"/>
      <c r="I22" s="334"/>
      <c r="J22" s="334"/>
      <c r="L22" s="133"/>
      <c r="M22" s="13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88"/>
    </row>
    <row r="23" spans="2:26" x14ac:dyDescent="0.3">
      <c r="E23" s="334" t="s">
        <v>196</v>
      </c>
      <c r="F23" s="334"/>
      <c r="G23" s="334"/>
      <c r="H23" s="334"/>
      <c r="I23" s="334"/>
      <c r="J23" s="334"/>
      <c r="L23" s="138"/>
      <c r="M23" s="139"/>
      <c r="N23" s="133"/>
      <c r="O23" s="163"/>
      <c r="V23" s="122"/>
      <c r="W23" s="130"/>
      <c r="X23" s="129"/>
      <c r="Z23" s="164"/>
    </row>
    <row r="24" spans="2:26" x14ac:dyDescent="0.3">
      <c r="B24" s="178"/>
      <c r="E24" s="334"/>
      <c r="F24" s="334"/>
      <c r="G24" s="334"/>
      <c r="H24" s="334"/>
      <c r="I24" s="334"/>
      <c r="J24" s="334"/>
      <c r="L24" s="133"/>
      <c r="M24" s="133"/>
      <c r="N24" s="133"/>
      <c r="O24" s="140"/>
      <c r="V24" s="122"/>
      <c r="W24" s="122"/>
      <c r="X24" s="129"/>
      <c r="Z24" s="164"/>
    </row>
    <row r="25" spans="2:26" x14ac:dyDescent="0.3">
      <c r="B25" s="178"/>
      <c r="V25" s="129"/>
    </row>
    <row r="26" spans="2:26" x14ac:dyDescent="0.3">
      <c r="E26" s="333"/>
      <c r="F26" s="333"/>
      <c r="G26" s="333"/>
      <c r="H26" s="333"/>
      <c r="I26" s="207"/>
      <c r="J26" s="207"/>
    </row>
  </sheetData>
  <mergeCells count="10">
    <mergeCell ref="N5:Z5"/>
    <mergeCell ref="B9:C9"/>
    <mergeCell ref="L19:M19"/>
    <mergeCell ref="E2:J2"/>
    <mergeCell ref="E5:J5"/>
    <mergeCell ref="L5:L6"/>
    <mergeCell ref="M5:M6"/>
    <mergeCell ref="E26:H26"/>
    <mergeCell ref="E23:J24"/>
    <mergeCell ref="E21:J2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Z10:Z12" formula="1"/>
    <ignoredError sqref="N10:Y10" formula="1" formulaRange="1"/>
    <ignoredError sqref="N11:Y12" formula="1" formulaRange="1" unlockedFormula="1"/>
    <ignoredError sqref="C10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rgb="FF002060"/>
  </sheetPr>
  <dimension ref="F2:M19"/>
  <sheetViews>
    <sheetView showGridLines="0" zoomScaleNormal="100" workbookViewId="0">
      <selection activeCell="K19" sqref="K19"/>
    </sheetView>
  </sheetViews>
  <sheetFormatPr defaultRowHeight="14.4" x14ac:dyDescent="0.3"/>
  <cols>
    <col min="1" max="4" width="6" customWidth="1"/>
    <col min="5" max="5" width="6.33203125" customWidth="1"/>
    <col min="6" max="6" width="16.88671875" style="50" customWidth="1"/>
    <col min="7" max="9" width="16.88671875" customWidth="1"/>
    <col min="10" max="10" width="16.5546875" bestFit="1" customWidth="1"/>
    <col min="11" max="11" width="14.109375" customWidth="1"/>
    <col min="12" max="12" width="10.88671875" style="133" customWidth="1"/>
    <col min="13" max="13" width="25" bestFit="1" customWidth="1"/>
    <col min="14" max="27" width="17.5546875" customWidth="1"/>
    <col min="28" max="28" width="13.33203125" bestFit="1" customWidth="1"/>
    <col min="29" max="29" width="14.33203125" bestFit="1" customWidth="1"/>
  </cols>
  <sheetData>
    <row r="2" spans="6:13" ht="17.399999999999999" x14ac:dyDescent="0.3">
      <c r="F2" s="297" t="s">
        <v>198</v>
      </c>
      <c r="G2" s="297"/>
      <c r="H2" s="297"/>
      <c r="I2" s="297"/>
      <c r="J2" s="297"/>
    </row>
    <row r="4" spans="6:13" x14ac:dyDescent="0.3">
      <c r="K4" s="34"/>
      <c r="M4" s="189" t="s">
        <v>199</v>
      </c>
    </row>
    <row r="5" spans="6:13" x14ac:dyDescent="0.3">
      <c r="F5" s="330" t="s">
        <v>200</v>
      </c>
      <c r="G5" s="330"/>
      <c r="H5" s="330"/>
      <c r="I5" s="330"/>
      <c r="J5" s="330"/>
      <c r="K5" s="330"/>
      <c r="M5" s="190">
        <f>'CF 2021'!Z13</f>
        <v>307931046</v>
      </c>
    </row>
    <row r="6" spans="6:13" ht="16.2" x14ac:dyDescent="0.35">
      <c r="F6" s="341" t="s">
        <v>20</v>
      </c>
      <c r="G6" s="342"/>
      <c r="H6" s="342"/>
      <c r="I6" s="343"/>
      <c r="J6" s="51" t="s">
        <v>197</v>
      </c>
      <c r="K6" s="192" t="s">
        <v>201</v>
      </c>
      <c r="L6" s="179"/>
    </row>
    <row r="7" spans="6:13" x14ac:dyDescent="0.3">
      <c r="F7" s="344" t="s">
        <v>202</v>
      </c>
      <c r="G7" s="345"/>
      <c r="H7" s="345"/>
      <c r="I7" s="346"/>
      <c r="J7" s="72">
        <v>1949382.23</v>
      </c>
      <c r="K7" s="72">
        <f>J7/$M$5</f>
        <v>6.3305803533691106E-3</v>
      </c>
      <c r="L7" s="191"/>
      <c r="M7" s="189" t="s">
        <v>203</v>
      </c>
    </row>
    <row r="8" spans="6:13" x14ac:dyDescent="0.3">
      <c r="F8" s="344" t="s">
        <v>204</v>
      </c>
      <c r="G8" s="345"/>
      <c r="H8" s="345"/>
      <c r="I8" s="346"/>
      <c r="J8" s="72">
        <v>-62583.690970295713</v>
      </c>
      <c r="K8" s="72">
        <f t="shared" ref="K8:K10" si="0">J8/$M$5</f>
        <v>-2.032393023803638E-4</v>
      </c>
      <c r="L8" s="191"/>
      <c r="M8" s="190">
        <v>268170771</v>
      </c>
    </row>
    <row r="9" spans="6:13" x14ac:dyDescent="0.3">
      <c r="F9" s="344" t="s">
        <v>205</v>
      </c>
      <c r="G9" s="345"/>
      <c r="H9" s="345"/>
      <c r="I9" s="346"/>
      <c r="J9" s="72">
        <v>-60000</v>
      </c>
      <c r="K9" s="72">
        <f t="shared" si="0"/>
        <v>-1.948488169003914E-4</v>
      </c>
      <c r="L9" s="191"/>
    </row>
    <row r="10" spans="6:13" x14ac:dyDescent="0.3">
      <c r="F10" s="344" t="s">
        <v>206</v>
      </c>
      <c r="G10" s="345"/>
      <c r="H10" s="345"/>
      <c r="I10" s="346"/>
      <c r="J10" s="72">
        <v>655497.3355647251</v>
      </c>
      <c r="K10" s="72">
        <f t="shared" si="0"/>
        <v>2.1287146719357591E-3</v>
      </c>
      <c r="L10" s="191"/>
    </row>
    <row r="11" spans="6:13" x14ac:dyDescent="0.3">
      <c r="F11" s="339" t="s">
        <v>207</v>
      </c>
      <c r="G11" s="339"/>
      <c r="H11" s="339"/>
      <c r="I11" s="339"/>
      <c r="J11" s="72">
        <v>-83455613.809119999</v>
      </c>
      <c r="K11" s="72">
        <f t="shared" ref="K11:K13" si="1">J11/$M$5</f>
        <v>-0.27102046024005</v>
      </c>
      <c r="L11" s="191"/>
    </row>
    <row r="12" spans="6:13" x14ac:dyDescent="0.3">
      <c r="F12" s="339" t="s">
        <v>208</v>
      </c>
      <c r="G12" s="339"/>
      <c r="H12" s="339"/>
      <c r="I12" s="339"/>
      <c r="J12" s="52">
        <v>-133400798.75066717</v>
      </c>
      <c r="K12" s="72">
        <f t="shared" si="1"/>
        <v>-0.43321646350224513</v>
      </c>
      <c r="L12" s="135"/>
    </row>
    <row r="13" spans="6:13" x14ac:dyDescent="0.3">
      <c r="F13" s="340" t="s">
        <v>32</v>
      </c>
      <c r="G13" s="340"/>
      <c r="H13" s="340"/>
      <c r="I13" s="340"/>
      <c r="J13" s="195">
        <f>SUM(J7:J12)</f>
        <v>-214374116.68519273</v>
      </c>
      <c r="K13" s="194">
        <f t="shared" si="1"/>
        <v>-0.696175716836271</v>
      </c>
    </row>
    <row r="14" spans="6:13" x14ac:dyDescent="0.3">
      <c r="J14" s="34"/>
    </row>
    <row r="15" spans="6:13" x14ac:dyDescent="0.3">
      <c r="F15" s="330" t="s">
        <v>209</v>
      </c>
      <c r="G15" s="330"/>
      <c r="H15" s="330"/>
      <c r="I15" s="330"/>
      <c r="J15" s="330"/>
      <c r="K15" s="330"/>
    </row>
    <row r="16" spans="6:13" ht="16.2" x14ac:dyDescent="0.35">
      <c r="F16" s="341" t="s">
        <v>20</v>
      </c>
      <c r="G16" s="342"/>
      <c r="H16" s="342"/>
      <c r="I16" s="343"/>
      <c r="J16" s="51" t="s">
        <v>197</v>
      </c>
      <c r="K16" s="192" t="s">
        <v>201</v>
      </c>
    </row>
    <row r="17" spans="6:11" x14ac:dyDescent="0.3">
      <c r="F17" s="339" t="s">
        <v>210</v>
      </c>
      <c r="G17" s="339"/>
      <c r="H17" s="339"/>
      <c r="I17" s="339"/>
      <c r="J17" s="52">
        <v>-27935606.135564726</v>
      </c>
      <c r="K17" s="72">
        <f>J17/$M$8</f>
        <v>-0.10417095804808917</v>
      </c>
    </row>
    <row r="18" spans="6:11" x14ac:dyDescent="0.3">
      <c r="F18" s="339" t="s">
        <v>211</v>
      </c>
      <c r="G18" s="339"/>
      <c r="H18" s="339"/>
      <c r="I18" s="339"/>
      <c r="J18" s="52">
        <f>J13</f>
        <v>-214374116.68519273</v>
      </c>
      <c r="K18" s="72">
        <f>K13</f>
        <v>-0.696175716836271</v>
      </c>
    </row>
    <row r="19" spans="6:11" x14ac:dyDescent="0.3">
      <c r="F19" s="340" t="s">
        <v>32</v>
      </c>
      <c r="G19" s="340"/>
      <c r="H19" s="340"/>
      <c r="I19" s="340"/>
      <c r="J19" s="195">
        <f>SUM(J17:J18)</f>
        <v>-242309722.82075745</v>
      </c>
      <c r="K19" s="194">
        <f>SUM(K17:K18)</f>
        <v>-0.80034667488436018</v>
      </c>
    </row>
  </sheetData>
  <mergeCells count="15">
    <mergeCell ref="F17:I17"/>
    <mergeCell ref="F19:I19"/>
    <mergeCell ref="F18:I18"/>
    <mergeCell ref="F15:K15"/>
    <mergeCell ref="F16:I16"/>
    <mergeCell ref="F12:I12"/>
    <mergeCell ref="F13:I13"/>
    <mergeCell ref="F6:I6"/>
    <mergeCell ref="F2:J2"/>
    <mergeCell ref="F7:I7"/>
    <mergeCell ref="F11:I11"/>
    <mergeCell ref="F5:K5"/>
    <mergeCell ref="F8:I8"/>
    <mergeCell ref="F9:I9"/>
    <mergeCell ref="F10:I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FFFF00"/>
  </sheetPr>
  <dimension ref="A1:P49"/>
  <sheetViews>
    <sheetView showGridLines="0" tabSelected="1" topLeftCell="A4" zoomScaleNormal="100" workbookViewId="0">
      <selection activeCell="E37" sqref="E37"/>
    </sheetView>
  </sheetViews>
  <sheetFormatPr defaultRowHeight="14.4" x14ac:dyDescent="0.3"/>
  <cols>
    <col min="1" max="1" width="4.88671875" style="46" customWidth="1"/>
    <col min="2" max="2" width="33.33203125" style="46" customWidth="1"/>
    <col min="3" max="3" width="15.44140625" style="46" customWidth="1"/>
    <col min="4" max="4" width="17" style="46" customWidth="1"/>
    <col min="5" max="5" width="23.5546875" style="46" customWidth="1"/>
    <col min="6" max="6" width="48.77734375" customWidth="1"/>
    <col min="7" max="7" width="13" customWidth="1"/>
    <col min="8" max="8" width="16.88671875" customWidth="1"/>
  </cols>
  <sheetData>
    <row r="1" spans="2:5" s="46" customFormat="1" ht="13.8" x14ac:dyDescent="0.25"/>
    <row r="2" spans="2:5" s="46" customFormat="1" ht="13.8" x14ac:dyDescent="0.25"/>
    <row r="3" spans="2:5" s="46" customFormat="1" ht="17.399999999999999" x14ac:dyDescent="0.25">
      <c r="B3" s="347" t="s">
        <v>212</v>
      </c>
      <c r="C3" s="347"/>
      <c r="D3" s="347"/>
      <c r="E3" s="347"/>
    </row>
    <row r="4" spans="2:5" s="46" customFormat="1" ht="13.8" x14ac:dyDescent="0.25"/>
    <row r="5" spans="2:5" s="46" customFormat="1" ht="13.8" x14ac:dyDescent="0.25"/>
    <row r="6" spans="2:5" s="46" customFormat="1" ht="13.8" x14ac:dyDescent="0.25"/>
    <row r="7" spans="2:5" s="47" customFormat="1" x14ac:dyDescent="0.3">
      <c r="B7" s="351" t="s">
        <v>213</v>
      </c>
      <c r="C7" s="352"/>
      <c r="D7" s="353"/>
      <c r="E7" s="208" t="s">
        <v>214</v>
      </c>
    </row>
    <row r="8" spans="2:5" s="48" customFormat="1" x14ac:dyDescent="0.3">
      <c r="B8" s="354" t="s">
        <v>215</v>
      </c>
      <c r="C8" s="355"/>
      <c r="D8" s="356"/>
      <c r="E8" s="210" t="s">
        <v>216</v>
      </c>
    </row>
    <row r="9" spans="2:5" s="48" customFormat="1" x14ac:dyDescent="0.3">
      <c r="B9" s="354" t="s">
        <v>217</v>
      </c>
      <c r="C9" s="355"/>
      <c r="D9" s="356"/>
      <c r="E9" s="210" t="s">
        <v>218</v>
      </c>
    </row>
    <row r="10" spans="2:5" s="48" customFormat="1" x14ac:dyDescent="0.3">
      <c r="B10" s="354" t="s">
        <v>219</v>
      </c>
      <c r="C10" s="355"/>
      <c r="D10" s="356"/>
      <c r="E10" s="210" t="s">
        <v>220</v>
      </c>
    </row>
    <row r="11" spans="2:5" s="48" customFormat="1" x14ac:dyDescent="0.3">
      <c r="B11" s="354" t="s">
        <v>221</v>
      </c>
      <c r="C11" s="355"/>
      <c r="D11" s="356"/>
      <c r="E11" s="210" t="s">
        <v>216</v>
      </c>
    </row>
    <row r="12" spans="2:5" s="48" customFormat="1" x14ac:dyDescent="0.3">
      <c r="B12" s="354" t="s">
        <v>222</v>
      </c>
      <c r="C12" s="355"/>
      <c r="D12" s="356"/>
      <c r="E12" s="210" t="s">
        <v>223</v>
      </c>
    </row>
    <row r="13" spans="2:5" s="48" customFormat="1" x14ac:dyDescent="0.3">
      <c r="B13" s="354" t="s">
        <v>224</v>
      </c>
      <c r="C13" s="355"/>
      <c r="D13" s="356"/>
      <c r="E13" s="210" t="s">
        <v>223</v>
      </c>
    </row>
    <row r="14" spans="2:5" s="48" customFormat="1" x14ac:dyDescent="0.3">
      <c r="B14" s="354" t="s">
        <v>225</v>
      </c>
      <c r="C14" s="355"/>
      <c r="D14" s="356"/>
      <c r="E14" s="210" t="s">
        <v>226</v>
      </c>
    </row>
    <row r="15" spans="2:5" s="48" customFormat="1" ht="15" customHeight="1" x14ac:dyDescent="0.3">
      <c r="B15" s="354" t="s">
        <v>227</v>
      </c>
      <c r="C15" s="355"/>
      <c r="D15" s="356"/>
      <c r="E15" s="210" t="s">
        <v>223</v>
      </c>
    </row>
    <row r="16" spans="2:5" s="46" customFormat="1" ht="13.8" x14ac:dyDescent="0.25"/>
    <row r="17" spans="1:16" s="49" customFormat="1" ht="13.8" x14ac:dyDescent="0.25">
      <c r="B17" s="46"/>
      <c r="C17" s="46"/>
      <c r="D17" s="46"/>
    </row>
    <row r="18" spans="1:16" s="49" customFormat="1" ht="16.2" x14ac:dyDescent="0.3">
      <c r="B18" s="348" t="s">
        <v>228</v>
      </c>
      <c r="C18" s="349"/>
      <c r="D18" s="350"/>
      <c r="E18" s="161"/>
      <c r="F18" s="348" t="s">
        <v>229</v>
      </c>
      <c r="G18" s="349"/>
      <c r="H18" s="350"/>
    </row>
    <row r="19" spans="1:16" s="46" customFormat="1" ht="15.6" x14ac:dyDescent="0.35">
      <c r="B19" s="209" t="s">
        <v>230</v>
      </c>
      <c r="C19" s="212" t="s">
        <v>231</v>
      </c>
      <c r="D19" s="213">
        <f>H19/H25</f>
        <v>0.26505435268640554</v>
      </c>
      <c r="E19" s="206"/>
      <c r="F19" s="268" t="s">
        <v>232</v>
      </c>
      <c r="G19" s="269" t="s">
        <v>233</v>
      </c>
      <c r="H19" s="270">
        <v>81618464.069577768</v>
      </c>
    </row>
    <row r="20" spans="1:16" s="46" customFormat="1" ht="15.6" x14ac:dyDescent="0.35">
      <c r="B20" s="209" t="s">
        <v>234</v>
      </c>
      <c r="C20" s="212" t="s">
        <v>235</v>
      </c>
      <c r="D20" s="213">
        <f>H20/H25</f>
        <v>2.8399661189083221E-2</v>
      </c>
      <c r="E20" s="206"/>
      <c r="F20" s="268" t="s">
        <v>236</v>
      </c>
      <c r="G20" s="269" t="s">
        <v>237</v>
      </c>
      <c r="H20" s="270">
        <v>8745137.3760000002</v>
      </c>
    </row>
    <row r="21" spans="1:16" s="46" customFormat="1" ht="15.6" x14ac:dyDescent="0.35">
      <c r="B21" s="209" t="s">
        <v>238</v>
      </c>
      <c r="C21" s="212" t="s">
        <v>136</v>
      </c>
      <c r="D21" s="213">
        <f>H21/H25</f>
        <v>4.9089312407455203</v>
      </c>
      <c r="E21" s="206"/>
      <c r="F21" s="268" t="s">
        <v>239</v>
      </c>
      <c r="G21" s="269" t="s">
        <v>240</v>
      </c>
      <c r="H21" s="270">
        <f>'VPB 2021'!D14</f>
        <v>1511612331.7048459</v>
      </c>
    </row>
    <row r="22" spans="1:16" s="46" customFormat="1" ht="15.6" x14ac:dyDescent="0.35">
      <c r="B22" s="209" t="s">
        <v>272</v>
      </c>
      <c r="C22" s="212" t="s">
        <v>241</v>
      </c>
      <c r="D22" s="213">
        <f>H22/H25</f>
        <v>-0.696175716836271</v>
      </c>
      <c r="E22" s="206"/>
      <c r="F22" s="268" t="s">
        <v>270</v>
      </c>
      <c r="G22" s="269" t="s">
        <v>242</v>
      </c>
      <c r="H22" s="270">
        <f>'CF 2020'!J13</f>
        <v>-214374116.68519273</v>
      </c>
    </row>
    <row r="23" spans="1:16" s="46" customFormat="1" ht="15.6" x14ac:dyDescent="0.25">
      <c r="B23" s="357" t="s">
        <v>243</v>
      </c>
      <c r="C23" s="358"/>
      <c r="D23" s="214">
        <f>SUM(D19:D22)</f>
        <v>4.5062095377847378</v>
      </c>
      <c r="F23" s="268" t="s">
        <v>244</v>
      </c>
      <c r="G23" s="269" t="s">
        <v>242</v>
      </c>
      <c r="H23" s="270">
        <f>'CF 2020'!J19</f>
        <v>-242309722.82075745</v>
      </c>
    </row>
    <row r="24" spans="1:16" s="46" customFormat="1" x14ac:dyDescent="0.25">
      <c r="B24" s="279"/>
      <c r="C24" s="275"/>
      <c r="D24" s="275"/>
      <c r="F24" s="271" t="s">
        <v>245</v>
      </c>
      <c r="G24" s="272" t="s">
        <v>246</v>
      </c>
      <c r="H24" s="273">
        <f>SUM(H19:H22)</f>
        <v>1387601816.4652309</v>
      </c>
    </row>
    <row r="25" spans="1:16" s="46" customFormat="1" ht="16.2" x14ac:dyDescent="0.25">
      <c r="B25" s="348" t="s">
        <v>247</v>
      </c>
      <c r="C25" s="349"/>
      <c r="D25" s="350"/>
      <c r="F25" s="271" t="s">
        <v>271</v>
      </c>
      <c r="G25" s="272" t="s">
        <v>248</v>
      </c>
      <c r="H25" s="274">
        <f>H34</f>
        <v>307931046</v>
      </c>
    </row>
    <row r="26" spans="1:16" s="46" customFormat="1" ht="16.2" x14ac:dyDescent="0.35">
      <c r="B26" s="209" t="s">
        <v>230</v>
      </c>
      <c r="C26" s="212" t="s">
        <v>231</v>
      </c>
      <c r="D26" s="285">
        <f>H19/H25</f>
        <v>0.26505435268640554</v>
      </c>
      <c r="E26" s="173"/>
      <c r="F26" s="271" t="s">
        <v>249</v>
      </c>
      <c r="G26" s="272" t="s">
        <v>250</v>
      </c>
      <c r="H26" s="274">
        <f>'CF 2020'!M8</f>
        <v>268170771</v>
      </c>
    </row>
    <row r="27" spans="1:16" s="46" customFormat="1" ht="15.6" x14ac:dyDescent="0.35">
      <c r="B27" s="209" t="s">
        <v>234</v>
      </c>
      <c r="C27" s="212" t="s">
        <v>235</v>
      </c>
      <c r="D27" s="285">
        <f>H20/H25</f>
        <v>2.8399661189083221E-2</v>
      </c>
      <c r="E27" s="94"/>
    </row>
    <row r="28" spans="1:16" s="46" customFormat="1" ht="15.6" x14ac:dyDescent="0.35">
      <c r="B28" s="209" t="s">
        <v>251</v>
      </c>
      <c r="C28" s="212" t="s">
        <v>136</v>
      </c>
      <c r="D28" s="285">
        <f>H21/H25</f>
        <v>4.9089312407455203</v>
      </c>
      <c r="E28" s="126"/>
      <c r="F28" s="348" t="s">
        <v>252</v>
      </c>
      <c r="G28" s="349"/>
      <c r="H28" s="350"/>
    </row>
    <row r="29" spans="1:16" s="46" customFormat="1" ht="15.6" x14ac:dyDescent="0.35">
      <c r="B29" s="209" t="s">
        <v>272</v>
      </c>
      <c r="C29" s="212" t="s">
        <v>241</v>
      </c>
      <c r="D29" s="285">
        <f>'CF 2020'!K19</f>
        <v>-0.80034667488436018</v>
      </c>
      <c r="E29" s="126"/>
      <c r="F29" s="268" t="s">
        <v>232</v>
      </c>
      <c r="G29" s="269" t="s">
        <v>253</v>
      </c>
      <c r="H29" s="270">
        <f>'VPA 2021'!C29</f>
        <v>81618464.121128291</v>
      </c>
      <c r="N29" s="127"/>
      <c r="O29" s="128"/>
      <c r="P29" s="125"/>
    </row>
    <row r="30" spans="1:16" s="46" customFormat="1" ht="15.6" x14ac:dyDescent="0.25">
      <c r="B30" s="357" t="s">
        <v>243</v>
      </c>
      <c r="C30" s="358"/>
      <c r="D30" s="214">
        <f>SUM(D26:D29)</f>
        <v>4.402038579736649</v>
      </c>
      <c r="F30" s="268" t="s">
        <v>236</v>
      </c>
      <c r="G30" s="269" t="s">
        <v>254</v>
      </c>
      <c r="H30" s="270">
        <f>'Bonus Desconto'!K15</f>
        <v>11840527.236000001</v>
      </c>
    </row>
    <row r="31" spans="1:16" s="49" customFormat="1" ht="15.6" x14ac:dyDescent="0.3">
      <c r="F31" s="268" t="s">
        <v>239</v>
      </c>
      <c r="G31" s="269" t="s">
        <v>255</v>
      </c>
      <c r="H31" s="270">
        <f>'RTA 2021'!D35*H34</f>
        <v>1631298965.8874016</v>
      </c>
    </row>
    <row r="32" spans="1:16" ht="16.2" x14ac:dyDescent="0.3">
      <c r="A32" s="1"/>
      <c r="B32" s="348" t="s">
        <v>258</v>
      </c>
      <c r="C32" s="349"/>
      <c r="D32" s="350"/>
      <c r="E32" s="1"/>
      <c r="F32" s="268" t="s">
        <v>256</v>
      </c>
      <c r="G32" s="269" t="s">
        <v>257</v>
      </c>
      <c r="H32" s="270">
        <f>'CF 2021'!C11</f>
        <v>-80120.061639818945</v>
      </c>
    </row>
    <row r="33" spans="1:8" ht="15.6" x14ac:dyDescent="0.35">
      <c r="A33" s="1"/>
      <c r="B33" s="209" t="s">
        <v>259</v>
      </c>
      <c r="C33" s="212" t="s">
        <v>112</v>
      </c>
      <c r="D33" s="276">
        <f>'VPA 2021'!C32</f>
        <v>0.26505435285381485</v>
      </c>
      <c r="E33" s="1"/>
      <c r="F33" s="271" t="s">
        <v>245</v>
      </c>
      <c r="G33" s="272" t="s">
        <v>246</v>
      </c>
      <c r="H33" s="273">
        <f>SUM(H29:H32)</f>
        <v>1724677837.1828902</v>
      </c>
    </row>
    <row r="34" spans="1:8" ht="16.2" x14ac:dyDescent="0.35">
      <c r="A34" s="1"/>
      <c r="B34" s="211" t="s">
        <v>261</v>
      </c>
      <c r="C34" s="277" t="s">
        <v>262</v>
      </c>
      <c r="D34" s="276">
        <f>'Bonus Desconto'!K15/H34</f>
        <v>3.845187872352436E-2</v>
      </c>
      <c r="E34" s="1"/>
      <c r="F34" s="271" t="s">
        <v>260</v>
      </c>
      <c r="G34" s="272" t="s">
        <v>248</v>
      </c>
      <c r="H34" s="274">
        <f>'VPA 2021'!C12</f>
        <v>307931046</v>
      </c>
    </row>
    <row r="35" spans="1:8" ht="15.6" x14ac:dyDescent="0.35">
      <c r="A35" s="1"/>
      <c r="B35" s="209" t="s">
        <v>263</v>
      </c>
      <c r="C35" s="212" t="s">
        <v>137</v>
      </c>
      <c r="D35" s="276">
        <f>+'VPB 2021'!C25</f>
        <v>5.2976112252332026</v>
      </c>
      <c r="E35" s="1"/>
    </row>
    <row r="36" spans="1:8" ht="15.6" x14ac:dyDescent="0.35">
      <c r="A36" s="1"/>
      <c r="B36" s="209" t="s">
        <v>264</v>
      </c>
      <c r="C36" s="212" t="s">
        <v>265</v>
      </c>
      <c r="D36" s="276">
        <f>H32/H34</f>
        <v>-2.6018832034175259E-4</v>
      </c>
      <c r="E36" s="1"/>
    </row>
    <row r="37" spans="1:8" x14ac:dyDescent="0.3">
      <c r="A37" s="1"/>
      <c r="B37" s="357" t="s">
        <v>266</v>
      </c>
      <c r="C37" s="358" t="s">
        <v>267</v>
      </c>
      <c r="D37" s="214">
        <f>SUM(D33:D36)</f>
        <v>5.6008572684902003</v>
      </c>
      <c r="E37" s="1"/>
    </row>
    <row r="38" spans="1:8" x14ac:dyDescent="0.3">
      <c r="A38" s="1"/>
      <c r="B38" s="348" t="s">
        <v>268</v>
      </c>
      <c r="C38" s="350"/>
      <c r="D38" s="278">
        <f>D37/D23-1</f>
        <v>0.24291984683064549</v>
      </c>
      <c r="E38" s="1"/>
    </row>
    <row r="39" spans="1:8" x14ac:dyDescent="0.3">
      <c r="A39" s="1"/>
      <c r="B39" s="348" t="s">
        <v>269</v>
      </c>
      <c r="C39" s="350"/>
      <c r="D39" s="278">
        <f>D37/D30-1</f>
        <v>0.27233261749951998</v>
      </c>
      <c r="E39" s="1"/>
    </row>
    <row r="40" spans="1:8" x14ac:dyDescent="0.3">
      <c r="A40" s="1"/>
      <c r="B40" s="1"/>
      <c r="C40" s="1"/>
      <c r="D40" s="1"/>
      <c r="E40" s="1"/>
    </row>
    <row r="41" spans="1:8" x14ac:dyDescent="0.3">
      <c r="A41" s="1"/>
      <c r="B41" s="1"/>
      <c r="C41" s="1"/>
      <c r="D41" s="1"/>
      <c r="E41" s="1"/>
    </row>
    <row r="42" spans="1:8" x14ac:dyDescent="0.3">
      <c r="A42" s="1"/>
      <c r="B42" s="1"/>
      <c r="C42" s="1"/>
      <c r="D42" s="1"/>
      <c r="E42" s="1"/>
    </row>
    <row r="43" spans="1:8" x14ac:dyDescent="0.3">
      <c r="A43" s="1"/>
      <c r="B43" s="1"/>
      <c r="C43" s="1"/>
      <c r="D43" s="1"/>
      <c r="E43" s="1"/>
    </row>
    <row r="44" spans="1:8" x14ac:dyDescent="0.3">
      <c r="A44" s="1"/>
      <c r="B44" s="1"/>
      <c r="C44" s="1"/>
      <c r="D44" s="1"/>
      <c r="E44" s="1"/>
    </row>
    <row r="45" spans="1:8" x14ac:dyDescent="0.3">
      <c r="A45" s="1"/>
      <c r="B45" s="1"/>
      <c r="C45" s="1"/>
      <c r="D45"/>
      <c r="E45" s="1"/>
    </row>
    <row r="46" spans="1:8" x14ac:dyDescent="0.3">
      <c r="A46" s="1"/>
      <c r="B46" s="1"/>
      <c r="C46" s="1"/>
      <c r="D46" s="1"/>
      <c r="E46" s="1"/>
    </row>
    <row r="47" spans="1:8" x14ac:dyDescent="0.3">
      <c r="A47" s="1"/>
      <c r="B47" s="1"/>
      <c r="C47" s="1"/>
      <c r="D47" s="1"/>
      <c r="E47" s="1"/>
    </row>
    <row r="48" spans="1:8" x14ac:dyDescent="0.3">
      <c r="A48" s="1"/>
      <c r="B48" s="1"/>
      <c r="C48" s="1"/>
      <c r="D48" s="1"/>
      <c r="E48" s="1"/>
    </row>
    <row r="49" spans="2:5" x14ac:dyDescent="0.3">
      <c r="B49" s="1"/>
      <c r="C49" s="1"/>
      <c r="D49" s="1"/>
      <c r="E49"/>
    </row>
  </sheetData>
  <mergeCells count="20">
    <mergeCell ref="B39:C39"/>
    <mergeCell ref="B38:C38"/>
    <mergeCell ref="B18:D18"/>
    <mergeCell ref="B23:C23"/>
    <mergeCell ref="B37:C37"/>
    <mergeCell ref="F18:H18"/>
    <mergeCell ref="B25:D25"/>
    <mergeCell ref="B30:C30"/>
    <mergeCell ref="F28:H28"/>
    <mergeCell ref="B14:D14"/>
    <mergeCell ref="B15:D15"/>
    <mergeCell ref="B3:E3"/>
    <mergeCell ref="B32:D32"/>
    <mergeCell ref="B7:D7"/>
    <mergeCell ref="B8:D8"/>
    <mergeCell ref="B9:D9"/>
    <mergeCell ref="B10:D10"/>
    <mergeCell ref="B11:D11"/>
    <mergeCell ref="B12:D12"/>
    <mergeCell ref="B13:D1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20b24-8996-453a-8c5e-60294695dd12">
      <UserInfo>
        <DisplayName>Cássio Leandro Cossenzo</DisplayName>
        <AccountId>20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9" ma:contentTypeDescription="Crie um novo documento." ma:contentTypeScope="" ma:versionID="19fda71d3bc3048aa1782e505ce9fb16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a8e4c5e70730bb0601a39fa79c69d280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5C07B-A263-424C-869C-57429B3A7A9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4b520b24-8996-453a-8c5e-60294695dd12"/>
    <ds:schemaRef ds:uri="12eaf6f9-417e-4436-811b-51d381a4d0a9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F9B725-14FE-4C9C-A0D1-54DA2891A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C373A-DE5A-4C6D-A81F-8EEA0A12A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12eaf6f9-417e-4436-811b-51d381a4d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Fórmulas</vt:lpstr>
      <vt:lpstr>Indices_2021</vt:lpstr>
      <vt:lpstr>Volume_2020</vt:lpstr>
      <vt:lpstr>Bonus Desconto</vt:lpstr>
      <vt:lpstr>VPA 2021</vt:lpstr>
      <vt:lpstr>VPB 2021</vt:lpstr>
      <vt:lpstr>CF 2021</vt:lpstr>
      <vt:lpstr>CF 2020</vt:lpstr>
      <vt:lpstr>RTA 2021</vt:lpstr>
      <vt:lpstr>'RTA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cassio.leandro</dc:creator>
  <cp:keywords/>
  <dc:description/>
  <cp:lastModifiedBy>Hannah</cp:lastModifiedBy>
  <cp:revision/>
  <dcterms:created xsi:type="dcterms:W3CDTF">2013-12-30T11:25:26Z</dcterms:created>
  <dcterms:modified xsi:type="dcterms:W3CDTF">2021-03-17T20:54:06Z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  <property fmtid="{D5CDD505-2E9C-101B-9397-08002B2CF9AE}" pid="3" name="AuthorIds_UIVersion_8192">
    <vt:lpwstr>165</vt:lpwstr>
  </property>
</Properties>
</file>