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.lima\Desktop\Copeira e Garçon\"/>
    </mc:Choice>
  </mc:AlternateContent>
  <bookViews>
    <workbookView xWindow="0" yWindow="0" windowWidth="28800" windowHeight="12795" firstSheet="5" activeTab="7"/>
  </bookViews>
  <sheets>
    <sheet name="AREAS_E_PRODUTIVIDADE_gabarito" sheetId="3" state="hidden" r:id="rId1"/>
    <sheet name="Mat_Consumo_sob_demanda" sheetId="4" state="hidden" r:id="rId2"/>
    <sheet name="Equipamentos" sheetId="5" state="hidden" r:id="rId3"/>
    <sheet name="Uniforme" sheetId="6" state="hidden" r:id="rId4"/>
    <sheet name="Escala" sheetId="8" state="hidden" r:id="rId5"/>
    <sheet name="Copeira" sheetId="7" r:id="rId6"/>
    <sheet name="Garçom" sheetId="11" r:id="rId7"/>
    <sheet name="Encarregado(a)" sheetId="12" r:id="rId8"/>
    <sheet name="RESUMO_Preços" sheetId="10" r:id="rId9"/>
    <sheet name="Proposta de Preços" sheetId="13" state="hidden" r:id="rId10"/>
    <sheet name="PARTE_2" sheetId="2" state="hidden" r:id="rId11"/>
  </sheets>
  <definedNames>
    <definedName name="AGENTE_D_VAZIA" localSheetId="0">#REF!</definedName>
    <definedName name="AGENTE_D_VAZIA" localSheetId="7">#REF!</definedName>
    <definedName name="AGENTE_D_VAZIA" localSheetId="2">#REF!</definedName>
    <definedName name="AGENTE_D_VAZIA" localSheetId="4">#REF!</definedName>
    <definedName name="AGENTE_D_VAZIA" localSheetId="6">#REF!</definedName>
    <definedName name="AGENTE_D_VAZIA" localSheetId="1">#REF!</definedName>
    <definedName name="AGENTE_D_VAZIA" localSheetId="10">#REF!</definedName>
    <definedName name="AGENTE_D_VAZIA" localSheetId="8">#REF!</definedName>
    <definedName name="AGENTE_D_VAZIA" localSheetId="3">#REF!</definedName>
    <definedName name="AGENTE_D_VAZIA">#REF!</definedName>
    <definedName name="_xlnm.Print_Area" localSheetId="5">Copeira!$B$2:$E$91</definedName>
    <definedName name="_xlnm.Print_Area" localSheetId="7">'Encarregado(a)'!$B$2:$E$93</definedName>
    <definedName name="_xlnm.Print_Area" localSheetId="2">Equipamentos!$B$3:$AA$23</definedName>
    <definedName name="_xlnm.Print_Area" localSheetId="6">Garçom!$B$2:$E$93</definedName>
    <definedName name="_xlnm.Print_Area" localSheetId="1">Mat_Consumo_sob_demanda!$B$2:$BX$108</definedName>
    <definedName name="_xlnm.Print_Area" localSheetId="10">PARTE_2!$F$4:$Z$19</definedName>
    <definedName name="_xlnm.Print_Area" localSheetId="8">RESUMO_Preços!$B$3:$K$25</definedName>
    <definedName name="dedede" localSheetId="7">#REF!</definedName>
    <definedName name="dedede" localSheetId="4">#REF!</definedName>
    <definedName name="dedede" localSheetId="6">#REF!</definedName>
    <definedName name="dedede" localSheetId="10">#REF!</definedName>
    <definedName name="dedede" localSheetId="3">#REF!</definedName>
    <definedName name="dedede">#REF!</definedName>
    <definedName name="dia" localSheetId="7">#REF!</definedName>
    <definedName name="dia" localSheetId="4">#REF!</definedName>
    <definedName name="dia" localSheetId="6">#REF!</definedName>
    <definedName name="dia" localSheetId="10">#REF!</definedName>
    <definedName name="dia" localSheetId="3">#REF!</definedName>
    <definedName name="dia">#REF!</definedName>
    <definedName name="Escala_Oficial" localSheetId="7">#REF!</definedName>
    <definedName name="Escala_Oficial" localSheetId="4">#REF!</definedName>
    <definedName name="Escala_Oficial" localSheetId="6">#REF!</definedName>
    <definedName name="Escala_Oficial" localSheetId="10">#REF!</definedName>
    <definedName name="Escala_Oficial" localSheetId="3">#REF!</definedName>
    <definedName name="Escala_Oficial">#REF!</definedName>
    <definedName name="Excel_BuiltIn_Print_Area_1" localSheetId="7">#REF!</definedName>
    <definedName name="Excel_BuiltIn_Print_Area_1" localSheetId="4">#REF!</definedName>
    <definedName name="Excel_BuiltIn_Print_Area_1" localSheetId="6">#REF!</definedName>
    <definedName name="Excel_BuiltIn_Print_Area_1" localSheetId="10">#REF!</definedName>
    <definedName name="Excel_BuiltIn_Print_Area_1" localSheetId="3">#REF!</definedName>
    <definedName name="Excel_BuiltIn_Print_Area_1">#REF!</definedName>
    <definedName name="Excel_BuiltIn_Print_Area_1_1" localSheetId="7">#REF!</definedName>
    <definedName name="Excel_BuiltIn_Print_Area_1_1" localSheetId="4">#REF!</definedName>
    <definedName name="Excel_BuiltIn_Print_Area_1_1" localSheetId="6">#REF!</definedName>
    <definedName name="Excel_BuiltIn_Print_Area_1_1" localSheetId="10">#REF!</definedName>
    <definedName name="Excel_BuiltIn_Print_Area_1_1" localSheetId="3">#REF!</definedName>
    <definedName name="Excel_BuiltIn_Print_Area_1_1">#REF!</definedName>
    <definedName name="Excel_BuiltIn_Print_Area_1_1_1" localSheetId="7">#REF!</definedName>
    <definedName name="Excel_BuiltIn_Print_Area_1_1_1" localSheetId="4">#REF!</definedName>
    <definedName name="Excel_BuiltIn_Print_Area_1_1_1" localSheetId="6">#REF!</definedName>
    <definedName name="Excel_BuiltIn_Print_Area_1_1_1" localSheetId="10">#REF!</definedName>
    <definedName name="Excel_BuiltIn_Print_Area_1_1_1" localSheetId="3">#REF!</definedName>
    <definedName name="Excel_BuiltIn_Print_Area_1_1_1">#REF!</definedName>
    <definedName name="Excel_BuiltIn_Print_Area_1_1_1_1" localSheetId="7">#REF!</definedName>
    <definedName name="Excel_BuiltIn_Print_Area_1_1_1_1" localSheetId="4">#REF!</definedName>
    <definedName name="Excel_BuiltIn_Print_Area_1_1_1_1" localSheetId="6">#REF!</definedName>
    <definedName name="Excel_BuiltIn_Print_Area_1_1_1_1" localSheetId="10">#REF!</definedName>
    <definedName name="Excel_BuiltIn_Print_Area_1_1_1_1" localSheetId="3">#REF!</definedName>
    <definedName name="Excel_BuiltIn_Print_Area_1_1_1_1">#REF!</definedName>
    <definedName name="Excel_BuiltIn_Print_Area_3_1" localSheetId="0">#REF!</definedName>
    <definedName name="Excel_BuiltIn_Print_Area_3_1" localSheetId="5">#REF!</definedName>
    <definedName name="Excel_BuiltIn_Print_Area_3_1" localSheetId="7">#REF!</definedName>
    <definedName name="Excel_BuiltIn_Print_Area_3_1" localSheetId="2">#REF!</definedName>
    <definedName name="Excel_BuiltIn_Print_Area_3_1" localSheetId="4">#REF!</definedName>
    <definedName name="Excel_BuiltIn_Print_Area_3_1" localSheetId="6">#REF!</definedName>
    <definedName name="Excel_BuiltIn_Print_Area_3_1" localSheetId="1">#REF!</definedName>
    <definedName name="Excel_BuiltIn_Print_Area_3_1" localSheetId="10">#REF!</definedName>
    <definedName name="Excel_BuiltIn_Print_Area_3_1" localSheetId="8">#REF!</definedName>
    <definedName name="Excel_BuiltIn_Print_Area_3_1" localSheetId="3">#REF!</definedName>
    <definedName name="Excel_BuiltIn_Print_Area_3_1">#REF!</definedName>
    <definedName name="Excel_BuiltIn_Print_Area_4_1" localSheetId="0">#REF!</definedName>
    <definedName name="Excel_BuiltIn_Print_Area_4_1" localSheetId="5">#REF!</definedName>
    <definedName name="Excel_BuiltIn_Print_Area_4_1" localSheetId="7">#REF!</definedName>
    <definedName name="Excel_BuiltIn_Print_Area_4_1" localSheetId="2">#REF!</definedName>
    <definedName name="Excel_BuiltIn_Print_Area_4_1" localSheetId="4">#REF!</definedName>
    <definedName name="Excel_BuiltIn_Print_Area_4_1" localSheetId="6">#REF!</definedName>
    <definedName name="Excel_BuiltIn_Print_Area_4_1" localSheetId="1">#REF!</definedName>
    <definedName name="Excel_BuiltIn_Print_Area_4_1" localSheetId="10">#REF!</definedName>
    <definedName name="Excel_BuiltIn_Print_Area_4_1" localSheetId="8">#REF!</definedName>
    <definedName name="Excel_BuiltIn_Print_Area_4_1" localSheetId="3">#REF!</definedName>
    <definedName name="Excel_BuiltIn_Print_Area_4_1">#REF!</definedName>
    <definedName name="Excel_BuiltIn_Print_Area_6_1" localSheetId="0">#REF!</definedName>
    <definedName name="Excel_BuiltIn_Print_Area_6_1" localSheetId="5">#REF!</definedName>
    <definedName name="Excel_BuiltIn_Print_Area_6_1" localSheetId="7">#REF!</definedName>
    <definedName name="Excel_BuiltIn_Print_Area_6_1" localSheetId="2">#REF!</definedName>
    <definedName name="Excel_BuiltIn_Print_Area_6_1" localSheetId="4">#REF!</definedName>
    <definedName name="Excel_BuiltIn_Print_Area_6_1" localSheetId="6">#REF!</definedName>
    <definedName name="Excel_BuiltIn_Print_Area_6_1" localSheetId="1">#REF!</definedName>
    <definedName name="Excel_BuiltIn_Print_Area_6_1" localSheetId="10">#REF!</definedName>
    <definedName name="Excel_BuiltIn_Print_Area_6_1" localSheetId="8">#REF!</definedName>
    <definedName name="Excel_BuiltIn_Print_Area_6_1" localSheetId="3">#REF!</definedName>
    <definedName name="Excel_BuiltIn_Print_Area_6_1">#REF!</definedName>
    <definedName name="Excel_BuiltIn_Print_Area_7_1" localSheetId="0">#REF!</definedName>
    <definedName name="Excel_BuiltIn_Print_Area_7_1" localSheetId="5">#REF!</definedName>
    <definedName name="Excel_BuiltIn_Print_Area_7_1" localSheetId="7">#REF!</definedName>
    <definedName name="Excel_BuiltIn_Print_Area_7_1" localSheetId="2">#REF!</definedName>
    <definedName name="Excel_BuiltIn_Print_Area_7_1" localSheetId="4">#REF!</definedName>
    <definedName name="Excel_BuiltIn_Print_Area_7_1" localSheetId="6">#REF!</definedName>
    <definedName name="Excel_BuiltIn_Print_Area_7_1" localSheetId="1">#REF!</definedName>
    <definedName name="Excel_BuiltIn_Print_Area_7_1" localSheetId="10">#REF!</definedName>
    <definedName name="Excel_BuiltIn_Print_Area_7_1" localSheetId="8">#REF!</definedName>
    <definedName name="Excel_BuiltIn_Print_Area_7_1" localSheetId="3">#REF!</definedName>
    <definedName name="Excel_BuiltIn_Print_Area_7_1">#REF!</definedName>
    <definedName name="Excel_BuiltIn_Print_Area_8_1" localSheetId="0">#REF!</definedName>
    <definedName name="Excel_BuiltIn_Print_Area_8_1" localSheetId="5">#REF!</definedName>
    <definedName name="Excel_BuiltIn_Print_Area_8_1" localSheetId="7">#REF!</definedName>
    <definedName name="Excel_BuiltIn_Print_Area_8_1" localSheetId="2">#REF!</definedName>
    <definedName name="Excel_BuiltIn_Print_Area_8_1" localSheetId="4">#REF!</definedName>
    <definedName name="Excel_BuiltIn_Print_Area_8_1" localSheetId="6">#REF!</definedName>
    <definedName name="Excel_BuiltIn_Print_Area_8_1" localSheetId="1">#REF!</definedName>
    <definedName name="Excel_BuiltIn_Print_Area_8_1" localSheetId="10">#REF!</definedName>
    <definedName name="Excel_BuiltIn_Print_Area_8_1" localSheetId="8">#REF!</definedName>
    <definedName name="Excel_BuiltIn_Print_Area_8_1" localSheetId="3">#REF!</definedName>
    <definedName name="Excel_BuiltIn_Print_Area_8_1">#REF!</definedName>
    <definedName name="Excel_BuiltIn_Print_Titles_1_1" localSheetId="7">#REF!</definedName>
    <definedName name="Excel_BuiltIn_Print_Titles_1_1" localSheetId="4">#REF!</definedName>
    <definedName name="Excel_BuiltIn_Print_Titles_1_1" localSheetId="6">#REF!</definedName>
    <definedName name="Excel_BuiltIn_Print_Titles_1_1" localSheetId="10">#REF!</definedName>
    <definedName name="Excel_BuiltIn_Print_Titles_1_1" localSheetId="3">#REF!</definedName>
    <definedName name="Excel_BuiltIn_Print_Titles_1_1">#REF!</definedName>
    <definedName name="Excel_BuiltIn_Print_Titles_1_1_1" localSheetId="7">#REF!</definedName>
    <definedName name="Excel_BuiltIn_Print_Titles_1_1_1" localSheetId="4">#REF!</definedName>
    <definedName name="Excel_BuiltIn_Print_Titles_1_1_1" localSheetId="6">#REF!</definedName>
    <definedName name="Excel_BuiltIn_Print_Titles_1_1_1" localSheetId="10">#REF!</definedName>
    <definedName name="Excel_BuiltIn_Print_Titles_1_1_1" localSheetId="3">#REF!</definedName>
    <definedName name="Excel_BuiltIn_Print_Titles_1_1_1">#REF!</definedName>
    <definedName name="fdkewfjnewfnew" localSheetId="7">#REF!</definedName>
    <definedName name="fdkewfjnewfnew" localSheetId="4">#REF!</definedName>
    <definedName name="fdkewfjnewfnew" localSheetId="6">#REF!</definedName>
    <definedName name="fdkewfjnewfnew" localSheetId="10">#REF!</definedName>
    <definedName name="fdkewfjnewfnew" localSheetId="3">#REF!</definedName>
    <definedName name="fdkewfjnewfnew">#REF!</definedName>
    <definedName name="jyfrmujyrm" localSheetId="7">#REF!</definedName>
    <definedName name="jyfrmujyrm" localSheetId="4">#REF!</definedName>
    <definedName name="jyfrmujyrm" localSheetId="6">#REF!</definedName>
    <definedName name="jyfrmujyrm" localSheetId="10">#REF!</definedName>
    <definedName name="jyfrmujyrm" localSheetId="3">#REF!</definedName>
    <definedName name="jyfrmujyrm">#REF!</definedName>
    <definedName name="lista1" localSheetId="0">#REF!</definedName>
    <definedName name="lista1" localSheetId="7">#REF!</definedName>
    <definedName name="lista1" localSheetId="2">#REF!</definedName>
    <definedName name="lista1" localSheetId="4">#REF!</definedName>
    <definedName name="lista1" localSheetId="6">#REF!</definedName>
    <definedName name="lista1" localSheetId="1">#REF!</definedName>
    <definedName name="lista1" localSheetId="10">#REF!</definedName>
    <definedName name="lista1" localSheetId="8">#REF!</definedName>
    <definedName name="lista1" localSheetId="3">#REF!</definedName>
    <definedName name="lista1">#REF!</definedName>
    <definedName name="lista2" localSheetId="0">#REF!</definedName>
    <definedName name="lista2" localSheetId="7">#REF!</definedName>
    <definedName name="lista2" localSheetId="2">#REF!</definedName>
    <definedName name="lista2" localSheetId="4">#REF!</definedName>
    <definedName name="lista2" localSheetId="6">#REF!</definedName>
    <definedName name="lista2" localSheetId="1">#REF!</definedName>
    <definedName name="lista2" localSheetId="10">#REF!</definedName>
    <definedName name="lista2" localSheetId="8">#REF!</definedName>
    <definedName name="lista2" localSheetId="3">#REF!</definedName>
    <definedName name="lista2">#REF!</definedName>
    <definedName name="nome" localSheetId="7">#REF!</definedName>
    <definedName name="nome" localSheetId="4">#REF!</definedName>
    <definedName name="nome" localSheetId="6">#REF!</definedName>
    <definedName name="nome" localSheetId="10">#REF!</definedName>
    <definedName name="nome" localSheetId="3">#REF!</definedName>
    <definedName name="nome">#REF!</definedName>
    <definedName name="PPPAs" localSheetId="0">#REF!</definedName>
    <definedName name="PPPAs" localSheetId="5">#REF!</definedName>
    <definedName name="PPPAs" localSheetId="7">#REF!</definedName>
    <definedName name="PPPAs" localSheetId="2">#REF!</definedName>
    <definedName name="PPPAs" localSheetId="4">#REF!</definedName>
    <definedName name="PPPAs" localSheetId="6">#REF!</definedName>
    <definedName name="PPPAs" localSheetId="1">#REF!</definedName>
    <definedName name="PPPAs" localSheetId="10">#REF!</definedName>
    <definedName name="PPPAs" localSheetId="8">#REF!</definedName>
    <definedName name="PPPAs" localSheetId="3">#REF!</definedName>
    <definedName name="PPPAs">#REF!</definedName>
    <definedName name="res" localSheetId="7">#REF!</definedName>
    <definedName name="res" localSheetId="4">#REF!</definedName>
    <definedName name="res" localSheetId="6">#REF!</definedName>
    <definedName name="res" localSheetId="10">#REF!</definedName>
    <definedName name="res" localSheetId="3">#REF!</definedName>
    <definedName name="res">#REF!</definedName>
    <definedName name="resumo" localSheetId="7">#REF!</definedName>
    <definedName name="resumo" localSheetId="4">#REF!</definedName>
    <definedName name="resumo" localSheetId="6">#REF!</definedName>
    <definedName name="resumo" localSheetId="10">#REF!</definedName>
    <definedName name="resumo" localSheetId="3">#REF!</definedName>
    <definedName name="resumo">#REF!</definedName>
    <definedName name="sdsd" localSheetId="0">#REF!</definedName>
    <definedName name="sdsd" localSheetId="7">#REF!</definedName>
    <definedName name="sdsd" localSheetId="2">#REF!</definedName>
    <definedName name="sdsd" localSheetId="4">#REF!</definedName>
    <definedName name="sdsd" localSheetId="6">#REF!</definedName>
    <definedName name="sdsd" localSheetId="1">#REF!</definedName>
    <definedName name="sdsd" localSheetId="10">#REF!</definedName>
    <definedName name="sdsd" localSheetId="8">#REF!</definedName>
    <definedName name="sdsd" localSheetId="3">#REF!</definedName>
    <definedName name="sdsd">#REF!</definedName>
    <definedName name="Telefonista_VAZIA" localSheetId="7">#REF!</definedName>
    <definedName name="Telefonista_VAZIA" localSheetId="4">#REF!</definedName>
    <definedName name="Telefonista_VAZIA" localSheetId="6">#REF!</definedName>
    <definedName name="Telefonista_VAZIA" localSheetId="10">#REF!</definedName>
    <definedName name="Telefonista_VAZIA" localSheetId="3">#REF!</definedName>
    <definedName name="Telefonista_VAZIA">#REF!</definedName>
    <definedName name="Teste" localSheetId="7">#REF!</definedName>
    <definedName name="Teste" localSheetId="4">#REF!</definedName>
    <definedName name="Teste" localSheetId="6">#REF!</definedName>
    <definedName name="teste" localSheetId="10">#REF!</definedName>
    <definedName name="Teste" localSheetId="3">#REF!</definedName>
    <definedName name="Teste">#REF!</definedName>
    <definedName name="_xlnm.Print_Titles" localSheetId="2">Equipamentos!$B:$D</definedName>
    <definedName name="_xlnm.Print_Titles" localSheetId="1">Mat_Consumo_sob_demanda!$B:$C</definedName>
    <definedName name="Z_199C89FF_7E0D_492D_93AB_17ED416210A6_.wvu.PrintArea" localSheetId="1" hidden="1">Mat_Consumo_sob_demanda!$B$2:$F$108</definedName>
    <definedName name="Z_A1734028_3C89_43BF_B6FB_F273DEF4EDB9_.wvu.PrintArea" localSheetId="1" hidden="1">Mat_Consumo_sob_demanda!$B$2:$F$108</definedName>
    <definedName name="Z_AB431201_5DEE_4572_A67F_89F4AF8EEE72_.wvu.PrintArea" localSheetId="1" hidden="1">Mat_Consumo_sob_demanda!$B$2:$F$108</definedName>
  </definedName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7" l="1"/>
  <c r="D41" i="7"/>
  <c r="D45" i="7"/>
  <c r="D50" i="7"/>
  <c r="D52" i="7" s="1"/>
  <c r="D53" i="7"/>
  <c r="D54" i="7"/>
  <c r="D57" i="7"/>
  <c r="D58" i="7"/>
  <c r="D59" i="7"/>
  <c r="D60" i="7"/>
  <c r="D61" i="7"/>
  <c r="D62" i="7"/>
  <c r="D37" i="8" l="1"/>
  <c r="D7" i="13"/>
  <c r="B6" i="13" l="1"/>
  <c r="B5" i="13"/>
  <c r="B4" i="13"/>
  <c r="B3" i="13"/>
  <c r="E13" i="10"/>
  <c r="E14" i="10"/>
  <c r="D18" i="10"/>
  <c r="D17" i="10"/>
  <c r="D16" i="10"/>
  <c r="G37" i="6" l="1"/>
  <c r="G36" i="6"/>
  <c r="G35" i="6"/>
  <c r="G34" i="6"/>
  <c r="G33" i="6"/>
  <c r="G32" i="6"/>
  <c r="G24" i="6"/>
  <c r="G23" i="6"/>
  <c r="G22" i="6"/>
  <c r="G21" i="6"/>
  <c r="G20" i="6"/>
  <c r="G19" i="6"/>
  <c r="G38" i="6" l="1"/>
  <c r="G39" i="6" s="1"/>
  <c r="E24" i="12" s="1"/>
  <c r="G25" i="6"/>
  <c r="G26" i="6" s="1"/>
  <c r="G37" i="8" l="1"/>
  <c r="G36" i="8"/>
  <c r="G35" i="8"/>
  <c r="F37" i="8"/>
  <c r="F36" i="8"/>
  <c r="F35" i="8"/>
  <c r="H35" i="8"/>
  <c r="E35" i="8"/>
  <c r="D26" i="8"/>
  <c r="D27" i="8" s="1"/>
  <c r="E25" i="8"/>
  <c r="E26" i="8" s="1"/>
  <c r="E27" i="8" s="1"/>
  <c r="E28" i="8" s="1"/>
  <c r="E29" i="8" s="1"/>
  <c r="F25" i="8" l="1"/>
  <c r="G25" i="8" s="1"/>
  <c r="H25" i="8" s="1"/>
  <c r="H26" i="8" s="1"/>
  <c r="H27" i="8" s="1"/>
  <c r="H28" i="8" s="1"/>
  <c r="I35" i="8"/>
  <c r="D28" i="8"/>
  <c r="F26" i="8" l="1"/>
  <c r="F27" i="8" s="1"/>
  <c r="G26" i="8"/>
  <c r="G27" i="8" s="1"/>
  <c r="G28" i="8" s="1"/>
  <c r="K25" i="8"/>
  <c r="D29" i="8"/>
  <c r="K29" i="8" s="1"/>
  <c r="D83" i="12"/>
  <c r="D63" i="12"/>
  <c r="D62" i="12"/>
  <c r="D61" i="12"/>
  <c r="D60" i="12"/>
  <c r="D59" i="12"/>
  <c r="D58" i="12"/>
  <c r="D55" i="12"/>
  <c r="D54" i="12"/>
  <c r="D51" i="12"/>
  <c r="D53" i="12" s="1"/>
  <c r="D46" i="12"/>
  <c r="D42" i="12"/>
  <c r="D41" i="12"/>
  <c r="D39" i="12"/>
  <c r="E16" i="12"/>
  <c r="E13" i="12"/>
  <c r="E36" i="12" s="1"/>
  <c r="E55" i="12" l="1"/>
  <c r="E46" i="12"/>
  <c r="E58" i="12"/>
  <c r="E41" i="12"/>
  <c r="E59" i="12"/>
  <c r="E42" i="12"/>
  <c r="E60" i="12"/>
  <c r="E61" i="12"/>
  <c r="E53" i="12"/>
  <c r="E62" i="12"/>
  <c r="E54" i="12"/>
  <c r="E63" i="12"/>
  <c r="K26" i="8"/>
  <c r="F28" i="8"/>
  <c r="K28" i="8" s="1"/>
  <c r="K27" i="8"/>
  <c r="D52" i="12"/>
  <c r="E52" i="12" s="1"/>
  <c r="D47" i="12"/>
  <c r="E47" i="12" s="1"/>
  <c r="D48" i="12"/>
  <c r="E48" i="12" s="1"/>
  <c r="D64" i="12"/>
  <c r="E64" i="12" s="1"/>
  <c r="D43" i="12"/>
  <c r="E43" i="12" s="1"/>
  <c r="E37" i="12"/>
  <c r="E32" i="12"/>
  <c r="E33" i="12"/>
  <c r="E38" i="12"/>
  <c r="E31" i="12"/>
  <c r="E34" i="12"/>
  <c r="E35" i="12"/>
  <c r="E51" i="12"/>
  <c r="H47" i="8"/>
  <c r="D56" i="12" l="1"/>
  <c r="E44" i="12"/>
  <c r="E56" i="12"/>
  <c r="E39" i="12"/>
  <c r="E49" i="12"/>
  <c r="D44" i="12"/>
  <c r="K30" i="8"/>
  <c r="D30" i="8"/>
  <c r="D35" i="8" s="1"/>
  <c r="D49" i="12"/>
  <c r="D65" i="12" l="1"/>
  <c r="D66" i="12" s="1"/>
  <c r="D67" i="12" s="1"/>
  <c r="E65" i="12" l="1"/>
  <c r="E66" i="12" s="1"/>
  <c r="E67" i="12" s="1"/>
  <c r="Y6" i="5"/>
  <c r="Y7" i="5" s="1"/>
  <c r="Y8" i="5" s="1"/>
  <c r="Y9" i="5" s="1"/>
  <c r="Y10" i="5" s="1"/>
  <c r="Y11" i="5" s="1"/>
  <c r="Y12" i="5" s="1"/>
  <c r="Y13" i="5" s="1"/>
  <c r="Y14" i="5" s="1"/>
  <c r="Y15" i="5" s="1"/>
  <c r="Y16" i="5" s="1"/>
  <c r="Y17" i="5" s="1"/>
  <c r="Y18" i="5" s="1"/>
  <c r="Y19" i="5" s="1"/>
  <c r="Y20" i="5" s="1"/>
  <c r="Y21" i="5" s="1"/>
  <c r="Y22" i="5" s="1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2" i="4"/>
  <c r="BR43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4" i="4"/>
  <c r="BR65" i="4"/>
  <c r="BR66" i="4"/>
  <c r="BR67" i="4"/>
  <c r="BR68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Q9" i="4"/>
  <c r="BS9" i="4" s="1"/>
  <c r="BQ10" i="4"/>
  <c r="BQ11" i="4"/>
  <c r="BQ12" i="4"/>
  <c r="BQ13" i="4"/>
  <c r="BQ14" i="4"/>
  <c r="BQ15" i="4"/>
  <c r="BQ16" i="4"/>
  <c r="BQ17" i="4"/>
  <c r="BS17" i="4" s="1"/>
  <c r="BQ18" i="4"/>
  <c r="BQ19" i="4"/>
  <c r="BQ20" i="4"/>
  <c r="BQ21" i="4"/>
  <c r="BQ22" i="4"/>
  <c r="BQ23" i="4"/>
  <c r="BQ24" i="4"/>
  <c r="BQ25" i="4"/>
  <c r="BS25" i="4" s="1"/>
  <c r="BQ26" i="4"/>
  <c r="BQ27" i="4"/>
  <c r="BQ28" i="4"/>
  <c r="BQ29" i="4"/>
  <c r="BQ30" i="4"/>
  <c r="BQ31" i="4"/>
  <c r="BQ32" i="4"/>
  <c r="BQ33" i="4"/>
  <c r="BS33" i="4" s="1"/>
  <c r="BQ34" i="4"/>
  <c r="BQ35" i="4"/>
  <c r="BQ36" i="4"/>
  <c r="BQ37" i="4"/>
  <c r="BQ38" i="4"/>
  <c r="BQ39" i="4"/>
  <c r="BQ42" i="4"/>
  <c r="BQ43" i="4"/>
  <c r="BS43" i="4" s="1"/>
  <c r="BQ45" i="4"/>
  <c r="BQ46" i="4"/>
  <c r="BQ47" i="4"/>
  <c r="BQ48" i="4"/>
  <c r="BQ49" i="4"/>
  <c r="BQ50" i="4"/>
  <c r="BQ51" i="4"/>
  <c r="BQ52" i="4"/>
  <c r="BS52" i="4" s="1"/>
  <c r="BQ53" i="4"/>
  <c r="BQ54" i="4"/>
  <c r="BQ55" i="4"/>
  <c r="BQ56" i="4"/>
  <c r="BQ57" i="4"/>
  <c r="BQ58" i="4"/>
  <c r="BQ59" i="4"/>
  <c r="BQ60" i="4"/>
  <c r="BS60" i="4" s="1"/>
  <c r="BQ61" i="4"/>
  <c r="BQ64" i="4"/>
  <c r="BQ65" i="4"/>
  <c r="BQ66" i="4"/>
  <c r="BQ67" i="4"/>
  <c r="BQ68" i="4"/>
  <c r="BQ71" i="4"/>
  <c r="BQ72" i="4"/>
  <c r="BS72" i="4" s="1"/>
  <c r="BQ73" i="4"/>
  <c r="BQ74" i="4"/>
  <c r="BQ75" i="4"/>
  <c r="BQ76" i="4"/>
  <c r="BQ77" i="4"/>
  <c r="BQ78" i="4"/>
  <c r="BQ79" i="4"/>
  <c r="BQ80" i="4"/>
  <c r="BS80" i="4" s="1"/>
  <c r="BQ81" i="4"/>
  <c r="BQ82" i="4"/>
  <c r="BQ83" i="4"/>
  <c r="BQ86" i="4"/>
  <c r="BQ87" i="4"/>
  <c r="BQ88" i="4"/>
  <c r="BQ89" i="4"/>
  <c r="BQ90" i="4"/>
  <c r="BS90" i="4" s="1"/>
  <c r="BQ91" i="4"/>
  <c r="BQ92" i="4"/>
  <c r="BQ93" i="4"/>
  <c r="BQ94" i="4"/>
  <c r="BQ95" i="4"/>
  <c r="BQ96" i="4"/>
  <c r="BQ97" i="4"/>
  <c r="BQ98" i="4"/>
  <c r="BS98" i="4" s="1"/>
  <c r="BQ99" i="4"/>
  <c r="BQ100" i="4"/>
  <c r="BQ101" i="4"/>
  <c r="BQ102" i="4"/>
  <c r="BQ103" i="4"/>
  <c r="BQ104" i="4"/>
  <c r="BQ105" i="4"/>
  <c r="BQ106" i="4"/>
  <c r="BS106" i="4" s="1"/>
  <c r="BQ107" i="4"/>
  <c r="BQ6" i="4"/>
  <c r="BR6" i="4"/>
  <c r="BS101" i="4" l="1"/>
  <c r="BS93" i="4"/>
  <c r="BS83" i="4"/>
  <c r="BS75" i="4"/>
  <c r="BS65" i="4"/>
  <c r="BS55" i="4"/>
  <c r="BS47" i="4"/>
  <c r="BS36" i="4"/>
  <c r="BS28" i="4"/>
  <c r="BS20" i="4"/>
  <c r="BS12" i="4"/>
  <c r="BS100" i="4"/>
  <c r="BS92" i="4"/>
  <c r="BS82" i="4"/>
  <c r="BS74" i="4"/>
  <c r="BS64" i="4"/>
  <c r="BS54" i="4"/>
  <c r="BS46" i="4"/>
  <c r="BS35" i="4"/>
  <c r="BS27" i="4"/>
  <c r="BS11" i="4"/>
  <c r="BS107" i="4"/>
  <c r="BS99" i="4"/>
  <c r="BS91" i="4"/>
  <c r="BS81" i="4"/>
  <c r="BS73" i="4"/>
  <c r="BS61" i="4"/>
  <c r="BS53" i="4"/>
  <c r="BS45" i="4"/>
  <c r="BS34" i="4"/>
  <c r="BS26" i="4"/>
  <c r="BS18" i="4"/>
  <c r="BS10" i="4"/>
  <c r="BS19" i="4"/>
  <c r="BS67" i="4"/>
  <c r="BS49" i="4"/>
  <c r="BS97" i="4"/>
  <c r="BS89" i="4"/>
  <c r="BS59" i="4"/>
  <c r="BS57" i="4"/>
  <c r="BS105" i="4"/>
  <c r="BS79" i="4"/>
  <c r="BS71" i="4"/>
  <c r="BS51" i="4"/>
  <c r="BS42" i="4"/>
  <c r="BS32" i="4"/>
  <c r="BS24" i="4"/>
  <c r="BS16" i="4"/>
  <c r="BS104" i="4"/>
  <c r="BS96" i="4"/>
  <c r="BS88" i="4"/>
  <c r="BS78" i="4"/>
  <c r="BS68" i="4"/>
  <c r="BS58" i="4"/>
  <c r="BS50" i="4"/>
  <c r="BS39" i="4"/>
  <c r="BS31" i="4"/>
  <c r="BS23" i="4"/>
  <c r="BS15" i="4"/>
  <c r="BS6" i="4"/>
  <c r="BT6" i="4" s="1"/>
  <c r="BT108" i="4" s="1"/>
  <c r="BS103" i="4"/>
  <c r="BS95" i="4"/>
  <c r="BS87" i="4"/>
  <c r="BS77" i="4"/>
  <c r="BS38" i="4"/>
  <c r="BS30" i="4"/>
  <c r="BS22" i="4"/>
  <c r="BS14" i="4"/>
  <c r="BS102" i="4"/>
  <c r="BS94" i="4"/>
  <c r="BS86" i="4"/>
  <c r="BS76" i="4"/>
  <c r="BS66" i="4"/>
  <c r="BS56" i="4"/>
  <c r="BS48" i="4"/>
  <c r="BS37" i="4"/>
  <c r="BS29" i="4"/>
  <c r="BS21" i="4"/>
  <c r="BS13" i="4"/>
  <c r="D83" i="11"/>
  <c r="D63" i="11"/>
  <c r="D62" i="11"/>
  <c r="D61" i="11"/>
  <c r="D60" i="11"/>
  <c r="D59" i="11"/>
  <c r="D58" i="11"/>
  <c r="D55" i="11"/>
  <c r="D54" i="11"/>
  <c r="D51" i="11"/>
  <c r="D46" i="11"/>
  <c r="D42" i="11"/>
  <c r="D41" i="11"/>
  <c r="D39" i="11"/>
  <c r="E16" i="11"/>
  <c r="E13" i="11"/>
  <c r="E15" i="10"/>
  <c r="E36" i="11" l="1"/>
  <c r="E32" i="11"/>
  <c r="E59" i="11"/>
  <c r="E42" i="11"/>
  <c r="E33" i="11"/>
  <c r="E38" i="11"/>
  <c r="E35" i="11"/>
  <c r="E31" i="11"/>
  <c r="E63" i="11"/>
  <c r="E34" i="11"/>
  <c r="E61" i="11"/>
  <c r="E54" i="11"/>
  <c r="E58" i="11"/>
  <c r="E62" i="11"/>
  <c r="D52" i="11"/>
  <c r="E52" i="11" s="1"/>
  <c r="D47" i="11"/>
  <c r="E47" i="11" s="1"/>
  <c r="D64" i="11"/>
  <c r="E64" i="11" s="1"/>
  <c r="D48" i="11"/>
  <c r="E48" i="11" s="1"/>
  <c r="D43" i="11"/>
  <c r="E43" i="11" s="1"/>
  <c r="E55" i="11"/>
  <c r="E60" i="11"/>
  <c r="E37" i="11"/>
  <c r="D53" i="11"/>
  <c r="E53" i="11" s="1"/>
  <c r="E41" i="11"/>
  <c r="E46" i="11"/>
  <c r="E51" i="11"/>
  <c r="E56" i="11" l="1"/>
  <c r="E49" i="11"/>
  <c r="D44" i="11"/>
  <c r="E39" i="11"/>
  <c r="E44" i="11"/>
  <c r="D56" i="11"/>
  <c r="D49" i="11"/>
  <c r="D65" i="11" l="1"/>
  <c r="E65" i="11" s="1"/>
  <c r="E66" i="11" s="1"/>
  <c r="E67" i="11" s="1"/>
  <c r="D66" i="11" l="1"/>
  <c r="D67" i="11" s="1"/>
  <c r="E15" i="7"/>
  <c r="E12" i="7"/>
  <c r="H37" i="8" l="1"/>
  <c r="E37" i="8"/>
  <c r="H36" i="8"/>
  <c r="E36" i="8"/>
  <c r="D16" i="8"/>
  <c r="D17" i="8" s="1"/>
  <c r="D18" i="8" s="1"/>
  <c r="J35" i="8" s="1"/>
  <c r="E15" i="8"/>
  <c r="D6" i="8"/>
  <c r="D7" i="8" s="1"/>
  <c r="D8" i="8" s="1"/>
  <c r="E5" i="8"/>
  <c r="E6" i="8" s="1"/>
  <c r="I36" i="8" l="1"/>
  <c r="I37" i="8"/>
  <c r="D19" i="8"/>
  <c r="D9" i="8"/>
  <c r="E7" i="8"/>
  <c r="F5" i="8"/>
  <c r="F15" i="8"/>
  <c r="E16" i="8"/>
  <c r="E17" i="8" l="1"/>
  <c r="F16" i="8"/>
  <c r="F17" i="8" s="1"/>
  <c r="F18" i="8" s="1"/>
  <c r="G15" i="8"/>
  <c r="F6" i="8"/>
  <c r="G5" i="8"/>
  <c r="E8" i="8"/>
  <c r="H5" i="8" l="1"/>
  <c r="K5" i="8" s="1"/>
  <c r="G6" i="8"/>
  <c r="G7" i="8" s="1"/>
  <c r="G8" i="8" s="1"/>
  <c r="F7" i="8"/>
  <c r="E18" i="8"/>
  <c r="E9" i="8"/>
  <c r="K9" i="8" s="1"/>
  <c r="H15" i="8"/>
  <c r="G16" i="8"/>
  <c r="H16" i="8" l="1"/>
  <c r="H17" i="8" s="1"/>
  <c r="H18" i="8" s="1"/>
  <c r="K15" i="8"/>
  <c r="F8" i="8"/>
  <c r="E19" i="8"/>
  <c r="K19" i="8" s="1"/>
  <c r="G17" i="8"/>
  <c r="H6" i="8"/>
  <c r="H7" i="8" s="1"/>
  <c r="H8" i="8" s="1"/>
  <c r="K16" i="8" l="1"/>
  <c r="D10" i="8"/>
  <c r="D36" i="8" s="1"/>
  <c r="J36" i="8" s="1"/>
  <c r="G18" i="8"/>
  <c r="K17" i="8"/>
  <c r="K7" i="8"/>
  <c r="K6" i="8"/>
  <c r="K8" i="8"/>
  <c r="E22" i="11" l="1"/>
  <c r="E22" i="12"/>
  <c r="K18" i="8"/>
  <c r="K20" i="8" s="1"/>
  <c r="D20" i="8"/>
  <c r="J37" i="8" s="1"/>
  <c r="E21" i="7" s="1"/>
  <c r="K10" i="8"/>
  <c r="B29" i="5" l="1"/>
  <c r="B30" i="5" s="1"/>
  <c r="B31" i="5" s="1"/>
  <c r="D81" i="7" l="1"/>
  <c r="D38" i="7"/>
  <c r="D47" i="7" l="1"/>
  <c r="E47" i="7" s="1"/>
  <c r="D51" i="7"/>
  <c r="E51" i="7" s="1"/>
  <c r="D63" i="7"/>
  <c r="E63" i="7" s="1"/>
  <c r="D46" i="7"/>
  <c r="E46" i="7" s="1"/>
  <c r="E54" i="7"/>
  <c r="E57" i="7"/>
  <c r="E61" i="7"/>
  <c r="E42" i="7"/>
  <c r="E35" i="7"/>
  <c r="E31" i="7"/>
  <c r="E60" i="7"/>
  <c r="E37" i="7"/>
  <c r="E34" i="7"/>
  <c r="E30" i="7"/>
  <c r="E58" i="7"/>
  <c r="E53" i="7"/>
  <c r="E41" i="7"/>
  <c r="E32" i="7"/>
  <c r="E33" i="7"/>
  <c r="E62" i="7"/>
  <c r="E59" i="7"/>
  <c r="E52" i="7"/>
  <c r="E36" i="7"/>
  <c r="E40" i="7"/>
  <c r="E45" i="7"/>
  <c r="E50" i="7"/>
  <c r="E43" i="7" l="1"/>
  <c r="E38" i="7"/>
  <c r="E55" i="7"/>
  <c r="D43" i="7"/>
  <c r="E48" i="7"/>
  <c r="D48" i="7"/>
  <c r="D55" i="7"/>
  <c r="D64" i="7" l="1"/>
  <c r="E64" i="7" s="1"/>
  <c r="E65" i="7" s="1"/>
  <c r="E66" i="7" s="1"/>
  <c r="D65" i="7" l="1"/>
  <c r="D66" i="7" s="1"/>
  <c r="G11" i="6"/>
  <c r="G10" i="6"/>
  <c r="G9" i="6"/>
  <c r="G8" i="6"/>
  <c r="G7" i="6"/>
  <c r="G6" i="6"/>
  <c r="G22" i="5"/>
  <c r="E22" i="5"/>
  <c r="E21" i="5"/>
  <c r="E20" i="5"/>
  <c r="L19" i="5"/>
  <c r="E19" i="5"/>
  <c r="E18" i="5"/>
  <c r="E17" i="5"/>
  <c r="K16" i="5"/>
  <c r="G16" i="5"/>
  <c r="E16" i="5"/>
  <c r="E15" i="5"/>
  <c r="K14" i="5"/>
  <c r="E14" i="5"/>
  <c r="E13" i="5"/>
  <c r="E12" i="5"/>
  <c r="E11" i="5"/>
  <c r="E10" i="5"/>
  <c r="L9" i="5"/>
  <c r="F9" i="5"/>
  <c r="E9" i="5"/>
  <c r="E8" i="5"/>
  <c r="E7" i="5"/>
  <c r="E6" i="5"/>
  <c r="E5" i="5"/>
  <c r="V11" i="5" l="1"/>
  <c r="U11" i="5"/>
  <c r="W11" i="5" s="1"/>
  <c r="Z11" i="5" s="1"/>
  <c r="V9" i="5"/>
  <c r="U9" i="5"/>
  <c r="W9" i="5" s="1"/>
  <c r="Z9" i="5" s="1"/>
  <c r="V15" i="5"/>
  <c r="U15" i="5"/>
  <c r="W15" i="5" s="1"/>
  <c r="Z15" i="5" s="1"/>
  <c r="V5" i="5"/>
  <c r="U5" i="5"/>
  <c r="W5" i="5" s="1"/>
  <c r="V13" i="5"/>
  <c r="U13" i="5"/>
  <c r="W13" i="5" s="1"/>
  <c r="Z13" i="5" s="1"/>
  <c r="V18" i="5"/>
  <c r="U18" i="5"/>
  <c r="W18" i="5" s="1"/>
  <c r="Z18" i="5" s="1"/>
  <c r="V8" i="5"/>
  <c r="U8" i="5"/>
  <c r="W8" i="5" s="1"/>
  <c r="Z8" i="5" s="1"/>
  <c r="U14" i="5"/>
  <c r="V14" i="5"/>
  <c r="V19" i="5"/>
  <c r="U19" i="5"/>
  <c r="W19" i="5" s="1"/>
  <c r="Z19" i="5" s="1"/>
  <c r="V21" i="5"/>
  <c r="U21" i="5"/>
  <c r="W21" i="5" s="1"/>
  <c r="Z21" i="5" s="1"/>
  <c r="U6" i="5"/>
  <c r="V6" i="5"/>
  <c r="V12" i="5"/>
  <c r="U12" i="5"/>
  <c r="W12" i="5" s="1"/>
  <c r="Z12" i="5" s="1"/>
  <c r="V17" i="5"/>
  <c r="U17" i="5"/>
  <c r="W17" i="5" s="1"/>
  <c r="Z17" i="5" s="1"/>
  <c r="V7" i="5"/>
  <c r="U7" i="5"/>
  <c r="W7" i="5" s="1"/>
  <c r="Z7" i="5" s="1"/>
  <c r="U20" i="5"/>
  <c r="V20" i="5"/>
  <c r="V16" i="5"/>
  <c r="U16" i="5"/>
  <c r="W16" i="5" s="1"/>
  <c r="Z16" i="5" s="1"/>
  <c r="V10" i="5"/>
  <c r="U10" i="5"/>
  <c r="W10" i="5" s="1"/>
  <c r="Z10" i="5" s="1"/>
  <c r="U22" i="5"/>
  <c r="V22" i="5"/>
  <c r="G12" i="6"/>
  <c r="AA15" i="5"/>
  <c r="X7" i="5"/>
  <c r="AA7" i="5"/>
  <c r="X8" i="5"/>
  <c r="AA8" i="5"/>
  <c r="X15" i="5"/>
  <c r="G13" i="6" l="1"/>
  <c r="E27" i="7" s="1"/>
  <c r="E67" i="7" s="1"/>
  <c r="E28" i="11"/>
  <c r="E68" i="11" s="1"/>
  <c r="G68" i="11" s="1"/>
  <c r="E28" i="12"/>
  <c r="E68" i="12" s="1"/>
  <c r="Z5" i="5"/>
  <c r="AA5" i="5" s="1"/>
  <c r="X5" i="5"/>
  <c r="W14" i="5"/>
  <c r="Z14" i="5" s="1"/>
  <c r="AA14" i="5" s="1"/>
  <c r="W20" i="5"/>
  <c r="Z20" i="5" s="1"/>
  <c r="AA20" i="5" s="1"/>
  <c r="W6" i="5"/>
  <c r="W22" i="5"/>
  <c r="Z22" i="5" s="1"/>
  <c r="AA9" i="5"/>
  <c r="X9" i="5"/>
  <c r="AA12" i="5"/>
  <c r="X12" i="5"/>
  <c r="X17" i="5"/>
  <c r="AA17" i="5"/>
  <c r="X18" i="5"/>
  <c r="AA18" i="5"/>
  <c r="AA13" i="5"/>
  <c r="X13" i="5"/>
  <c r="AA22" i="5"/>
  <c r="AA19" i="5"/>
  <c r="X19" i="5"/>
  <c r="AA11" i="5"/>
  <c r="X11" i="5"/>
  <c r="X16" i="5"/>
  <c r="AA16" i="5"/>
  <c r="AA21" i="5"/>
  <c r="X21" i="5"/>
  <c r="X14" i="5"/>
  <c r="AA10" i="5"/>
  <c r="X10" i="5"/>
  <c r="E73" i="7" l="1"/>
  <c r="E74" i="7" s="1"/>
  <c r="E75" i="7" s="1"/>
  <c r="E90" i="7" s="1"/>
  <c r="G67" i="7"/>
  <c r="F7" i="10"/>
  <c r="F6" i="10"/>
  <c r="E75" i="11"/>
  <c r="E76" i="11" s="1"/>
  <c r="E77" i="11" s="1"/>
  <c r="F8" i="10"/>
  <c r="C5" i="13" s="1"/>
  <c r="E75" i="12"/>
  <c r="G68" i="12"/>
  <c r="Z6" i="5"/>
  <c r="AA6" i="5" s="1"/>
  <c r="AA23" i="5" s="1"/>
  <c r="G9" i="10" s="1"/>
  <c r="I9" i="10" s="1"/>
  <c r="J9" i="10" s="1"/>
  <c r="X6" i="5"/>
  <c r="X20" i="5"/>
  <c r="X22" i="5"/>
  <c r="X23" i="5" s="1"/>
  <c r="X25" i="5" s="1"/>
  <c r="L6" i="10" l="1"/>
  <c r="C4" i="13"/>
  <c r="G34" i="10"/>
  <c r="C3" i="13"/>
  <c r="G7" i="10"/>
  <c r="L7" i="10"/>
  <c r="G6" i="10"/>
  <c r="G30" i="10"/>
  <c r="E76" i="12"/>
  <c r="E77" i="12" s="1"/>
  <c r="G38" i="10"/>
  <c r="L8" i="10"/>
  <c r="G8" i="10"/>
  <c r="G77" i="11"/>
  <c r="E92" i="11"/>
  <c r="G75" i="7"/>
  <c r="BT107" i="4"/>
  <c r="BT106" i="4"/>
  <c r="BV105" i="4"/>
  <c r="BU105" i="4"/>
  <c r="BT105" i="4"/>
  <c r="BV104" i="4"/>
  <c r="BU104" i="4"/>
  <c r="BV103" i="4"/>
  <c r="BU103" i="4"/>
  <c r="BT103" i="4"/>
  <c r="BV102" i="4"/>
  <c r="BU102" i="4"/>
  <c r="BV101" i="4"/>
  <c r="BU101" i="4"/>
  <c r="BT101" i="4"/>
  <c r="BV100" i="4"/>
  <c r="BU100" i="4"/>
  <c r="BV99" i="4"/>
  <c r="BU99" i="4"/>
  <c r="BV98" i="4"/>
  <c r="BU98" i="4"/>
  <c r="BV97" i="4"/>
  <c r="BU97" i="4"/>
  <c r="BV96" i="4"/>
  <c r="BU96" i="4"/>
  <c r="BV95" i="4"/>
  <c r="BU95" i="4"/>
  <c r="BV94" i="4"/>
  <c r="BU94" i="4"/>
  <c r="BV93" i="4"/>
  <c r="BU93" i="4"/>
  <c r="BV92" i="4"/>
  <c r="BU92" i="4"/>
  <c r="BV91" i="4"/>
  <c r="BU91" i="4"/>
  <c r="BV90" i="4"/>
  <c r="BU90" i="4"/>
  <c r="BV89" i="4"/>
  <c r="BU89" i="4"/>
  <c r="BV88" i="4"/>
  <c r="BU88" i="4"/>
  <c r="BV87" i="4"/>
  <c r="BU87" i="4"/>
  <c r="BV86" i="4"/>
  <c r="BU86" i="4"/>
  <c r="BU85" i="4"/>
  <c r="BU84" i="4"/>
  <c r="BV83" i="4"/>
  <c r="BU83" i="4"/>
  <c r="BV82" i="4"/>
  <c r="BU82" i="4"/>
  <c r="BV81" i="4"/>
  <c r="BU81" i="4"/>
  <c r="BV80" i="4"/>
  <c r="BU80" i="4"/>
  <c r="BV79" i="4"/>
  <c r="BU79" i="4"/>
  <c r="BV78" i="4"/>
  <c r="BU78" i="4"/>
  <c r="BV77" i="4"/>
  <c r="BU77" i="4"/>
  <c r="BT77" i="4"/>
  <c r="BV76" i="4"/>
  <c r="BU76" i="4"/>
  <c r="BV75" i="4"/>
  <c r="BU75" i="4"/>
  <c r="BV74" i="4"/>
  <c r="BU74" i="4"/>
  <c r="BV73" i="4"/>
  <c r="BU73" i="4"/>
  <c r="BV72" i="4"/>
  <c r="BU72" i="4"/>
  <c r="BV71" i="4"/>
  <c r="BU71" i="4"/>
  <c r="BU70" i="4"/>
  <c r="BU69" i="4"/>
  <c r="BV68" i="4"/>
  <c r="BU68" i="4"/>
  <c r="BV67" i="4"/>
  <c r="BU67" i="4"/>
  <c r="BV66" i="4"/>
  <c r="BU66" i="4"/>
  <c r="BV65" i="4"/>
  <c r="BU65" i="4"/>
  <c r="BV64" i="4"/>
  <c r="BU64" i="4"/>
  <c r="BU63" i="4"/>
  <c r="BU62" i="4"/>
  <c r="BV61" i="4"/>
  <c r="BU61" i="4"/>
  <c r="BV60" i="4"/>
  <c r="BU60" i="4"/>
  <c r="BV59" i="4"/>
  <c r="BU59" i="4"/>
  <c r="BV58" i="4"/>
  <c r="BU58" i="4"/>
  <c r="BV57" i="4"/>
  <c r="BU57" i="4"/>
  <c r="BV56" i="4"/>
  <c r="BU56" i="4"/>
  <c r="BV55" i="4"/>
  <c r="BU55" i="4"/>
  <c r="BV54" i="4"/>
  <c r="BU54" i="4"/>
  <c r="BV53" i="4"/>
  <c r="BU53" i="4"/>
  <c r="BV52" i="4"/>
  <c r="BU52" i="4"/>
  <c r="BV51" i="4"/>
  <c r="BU51" i="4"/>
  <c r="BV50" i="4"/>
  <c r="BU50" i="4"/>
  <c r="BV49" i="4"/>
  <c r="BU49" i="4"/>
  <c r="BV48" i="4"/>
  <c r="BU48" i="4"/>
  <c r="BV47" i="4"/>
  <c r="BU47" i="4"/>
  <c r="BV46" i="4"/>
  <c r="BU46" i="4"/>
  <c r="BV45" i="4"/>
  <c r="BU45" i="4"/>
  <c r="BU44" i="4"/>
  <c r="BV43" i="4"/>
  <c r="BU43" i="4"/>
  <c r="BV42" i="4"/>
  <c r="BU42" i="4"/>
  <c r="BU41" i="4"/>
  <c r="BU40" i="4"/>
  <c r="BV39" i="4"/>
  <c r="BU39" i="4"/>
  <c r="BV38" i="4"/>
  <c r="BU38" i="4"/>
  <c r="BV37" i="4"/>
  <c r="BU37" i="4"/>
  <c r="BV36" i="4"/>
  <c r="BU36" i="4"/>
  <c r="BV35" i="4"/>
  <c r="BU35" i="4"/>
  <c r="BV34" i="4"/>
  <c r="BU34" i="4"/>
  <c r="BV33" i="4"/>
  <c r="BU33" i="4"/>
  <c r="BV32" i="4"/>
  <c r="BU32" i="4"/>
  <c r="BV31" i="4"/>
  <c r="BU31" i="4"/>
  <c r="BV30" i="4"/>
  <c r="BU30" i="4"/>
  <c r="BV29" i="4"/>
  <c r="BU29" i="4"/>
  <c r="BV28" i="4"/>
  <c r="BU28" i="4"/>
  <c r="BV27" i="4"/>
  <c r="BU27" i="4"/>
  <c r="BV26" i="4"/>
  <c r="BU26" i="4"/>
  <c r="BV25" i="4"/>
  <c r="BU25" i="4"/>
  <c r="BV24" i="4"/>
  <c r="BU24" i="4"/>
  <c r="BV23" i="4"/>
  <c r="BU23" i="4"/>
  <c r="BV22" i="4"/>
  <c r="BU22" i="4"/>
  <c r="BV21" i="4"/>
  <c r="BU21" i="4"/>
  <c r="BV20" i="4"/>
  <c r="BU20" i="4"/>
  <c r="BV19" i="4"/>
  <c r="BU19" i="4"/>
  <c r="BV18" i="4"/>
  <c r="BU18" i="4"/>
  <c r="BT18" i="4"/>
  <c r="BV17" i="4"/>
  <c r="BU17" i="4"/>
  <c r="BV16" i="4"/>
  <c r="BU16" i="4"/>
  <c r="BV15" i="4"/>
  <c r="BU15" i="4"/>
  <c r="BV14" i="4"/>
  <c r="BU14" i="4"/>
  <c r="BV13" i="4"/>
  <c r="BU13" i="4"/>
  <c r="BT13" i="4"/>
  <c r="BV12" i="4"/>
  <c r="BU12" i="4"/>
  <c r="BT12" i="4"/>
  <c r="BV11" i="4"/>
  <c r="BU11" i="4"/>
  <c r="BV10" i="4"/>
  <c r="BU10" i="4"/>
  <c r="BV9" i="4"/>
  <c r="BU9" i="4"/>
  <c r="BU8" i="4"/>
  <c r="BU7" i="4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V6" i="4"/>
  <c r="BU6" i="4"/>
  <c r="H8" i="3"/>
  <c r="G7" i="3"/>
  <c r="F7" i="3"/>
  <c r="E7" i="3"/>
  <c r="D7" i="3"/>
  <c r="H6" i="3"/>
  <c r="E15" i="3" s="1"/>
  <c r="E17" i="3" s="1"/>
  <c r="H5" i="3"/>
  <c r="D15" i="3" s="1"/>
  <c r="D17" i="3" s="1"/>
  <c r="E17" i="2"/>
  <c r="E16" i="2"/>
  <c r="H16" i="2" s="1"/>
  <c r="S16" i="2" s="1"/>
  <c r="T16" i="2" s="1"/>
  <c r="E15" i="2"/>
  <c r="E14" i="2"/>
  <c r="H14" i="2" s="1"/>
  <c r="S14" i="2" s="1"/>
  <c r="T14" i="2" s="1"/>
  <c r="E13" i="2"/>
  <c r="E12" i="2"/>
  <c r="H12" i="2" s="1"/>
  <c r="S12" i="2" s="1"/>
  <c r="T12" i="2" s="1"/>
  <c r="E11" i="2"/>
  <c r="H11" i="2" s="1"/>
  <c r="I11" i="2" s="1"/>
  <c r="E10" i="2"/>
  <c r="E9" i="2"/>
  <c r="H9" i="2" s="1"/>
  <c r="I9" i="2" s="1"/>
  <c r="E8" i="2"/>
  <c r="H8" i="2" s="1"/>
  <c r="S8" i="2" s="1"/>
  <c r="T8" i="2" s="1"/>
  <c r="E7" i="2"/>
  <c r="E6" i="2"/>
  <c r="H6" i="2" s="1"/>
  <c r="I6" i="2" s="1"/>
  <c r="R17" i="2"/>
  <c r="H17" i="2"/>
  <c r="I17" i="2" s="1"/>
  <c r="R16" i="2"/>
  <c r="R15" i="2"/>
  <c r="H15" i="2"/>
  <c r="I15" i="2" s="1"/>
  <c r="R14" i="2"/>
  <c r="R13" i="2"/>
  <c r="H13" i="2"/>
  <c r="I13" i="2" s="1"/>
  <c r="R12" i="2"/>
  <c r="R11" i="2"/>
  <c r="R10" i="2"/>
  <c r="H10" i="2"/>
  <c r="S10" i="2" s="1"/>
  <c r="T10" i="2" s="1"/>
  <c r="R9" i="2"/>
  <c r="R8" i="2"/>
  <c r="R7" i="2"/>
  <c r="Q7" i="2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H7" i="2"/>
  <c r="I7" i="2" s="1"/>
  <c r="R6" i="2"/>
  <c r="C6" i="13" l="1"/>
  <c r="C8" i="13" s="1"/>
  <c r="I8" i="10"/>
  <c r="J8" i="10" s="1"/>
  <c r="D5" i="13"/>
  <c r="E5" i="13" s="1"/>
  <c r="I7" i="10"/>
  <c r="J7" i="10" s="1"/>
  <c r="D3" i="13"/>
  <c r="E3" i="13" s="1"/>
  <c r="I6" i="10"/>
  <c r="J6" i="10" s="1"/>
  <c r="D4" i="13"/>
  <c r="G82" i="11"/>
  <c r="G80" i="11"/>
  <c r="G81" i="11"/>
  <c r="G79" i="7"/>
  <c r="G80" i="7"/>
  <c r="G78" i="7"/>
  <c r="H5" i="10"/>
  <c r="G77" i="12"/>
  <c r="E92" i="12"/>
  <c r="E78" i="7"/>
  <c r="E79" i="7"/>
  <c r="E80" i="7"/>
  <c r="E81" i="7"/>
  <c r="E91" i="7" s="1"/>
  <c r="BR69" i="4"/>
  <c r="BQ69" i="4"/>
  <c r="BQ40" i="4"/>
  <c r="BR40" i="4"/>
  <c r="L6" i="2"/>
  <c r="N6" i="2"/>
  <c r="O6" i="2" s="1"/>
  <c r="BQ7" i="4"/>
  <c r="BR7" i="4"/>
  <c r="BV41" i="4"/>
  <c r="BQ41" i="4"/>
  <c r="BR41" i="4"/>
  <c r="BQ8" i="4"/>
  <c r="BR8" i="4"/>
  <c r="BQ62" i="4"/>
  <c r="BR62" i="4"/>
  <c r="BQ84" i="4"/>
  <c r="BR84" i="4"/>
  <c r="BR85" i="4"/>
  <c r="BQ85" i="4"/>
  <c r="BS85" i="4" s="1"/>
  <c r="BV44" i="4"/>
  <c r="BQ44" i="4"/>
  <c r="BR44" i="4"/>
  <c r="BV63" i="4"/>
  <c r="BR63" i="4"/>
  <c r="BQ63" i="4"/>
  <c r="BS63" i="4" s="1"/>
  <c r="BT63" i="4" s="1"/>
  <c r="N7" i="2"/>
  <c r="O7" i="2" s="1"/>
  <c r="L7" i="2"/>
  <c r="E82" i="11"/>
  <c r="E80" i="11"/>
  <c r="E81" i="11"/>
  <c r="E83" i="11"/>
  <c r="BQ70" i="4"/>
  <c r="BR70" i="4"/>
  <c r="BT49" i="4"/>
  <c r="BT65" i="4"/>
  <c r="BT9" i="4"/>
  <c r="BT47" i="4"/>
  <c r="BT68" i="4"/>
  <c r="BV69" i="4"/>
  <c r="BT94" i="4"/>
  <c r="BT23" i="4"/>
  <c r="BT24" i="4"/>
  <c r="BT26" i="4"/>
  <c r="BT27" i="4"/>
  <c r="BT30" i="4"/>
  <c r="BT57" i="4"/>
  <c r="BT58" i="4"/>
  <c r="BT81" i="4"/>
  <c r="BT82" i="4"/>
  <c r="BT83" i="4"/>
  <c r="BV84" i="4"/>
  <c r="BT37" i="4"/>
  <c r="BT38" i="4"/>
  <c r="BT43" i="4"/>
  <c r="BT88" i="4"/>
  <c r="BT89" i="4"/>
  <c r="BV8" i="4"/>
  <c r="BT22" i="4"/>
  <c r="BT32" i="4"/>
  <c r="BT34" i="4"/>
  <c r="BT39" i="4"/>
  <c r="BT45" i="4"/>
  <c r="BT46" i="4"/>
  <c r="BT50" i="4"/>
  <c r="BT51" i="4"/>
  <c r="BT52" i="4"/>
  <c r="BT54" i="4"/>
  <c r="BV62" i="4"/>
  <c r="BT71" i="4"/>
  <c r="BT73" i="4"/>
  <c r="BT90" i="4"/>
  <c r="BT92" i="4"/>
  <c r="BT93" i="4"/>
  <c r="BT14" i="4"/>
  <c r="BT15" i="4"/>
  <c r="BT61" i="4"/>
  <c r="BT64" i="4"/>
  <c r="BT97" i="4"/>
  <c r="BT98" i="4"/>
  <c r="BV7" i="4"/>
  <c r="BT25" i="4"/>
  <c r="BT33" i="4"/>
  <c r="BT35" i="4"/>
  <c r="BT36" i="4"/>
  <c r="BT53" i="4"/>
  <c r="BT55" i="4"/>
  <c r="BT56" i="4"/>
  <c r="BT74" i="4"/>
  <c r="BT86" i="4"/>
  <c r="BT10" i="4"/>
  <c r="BT11" i="4"/>
  <c r="BT16" i="4"/>
  <c r="BT28" i="4"/>
  <c r="BT59" i="4"/>
  <c r="BT75" i="4"/>
  <c r="BT99" i="4"/>
  <c r="BT100" i="4"/>
  <c r="BT19" i="4"/>
  <c r="BT20" i="4"/>
  <c r="BT29" i="4"/>
  <c r="BT31" i="4"/>
  <c r="BT42" i="4"/>
  <c r="BT48" i="4"/>
  <c r="BT60" i="4"/>
  <c r="BT66" i="4"/>
  <c r="BT67" i="4"/>
  <c r="BT78" i="4"/>
  <c r="BT79" i="4"/>
  <c r="BT95" i="4"/>
  <c r="BT96" i="4"/>
  <c r="BT102" i="4"/>
  <c r="BT21" i="4"/>
  <c r="BT80" i="4"/>
  <c r="BU108" i="4"/>
  <c r="BV85" i="4"/>
  <c r="BT17" i="4"/>
  <c r="BT76" i="4"/>
  <c r="BV40" i="4"/>
  <c r="BV70" i="4"/>
  <c r="BT72" i="4"/>
  <c r="BT87" i="4"/>
  <c r="BT91" i="4"/>
  <c r="BT104" i="4"/>
  <c r="H7" i="3"/>
  <c r="F15" i="3" s="1"/>
  <c r="F17" i="3" s="1"/>
  <c r="D23" i="3" s="1"/>
  <c r="I16" i="2"/>
  <c r="I12" i="2"/>
  <c r="I8" i="2"/>
  <c r="I14" i="2"/>
  <c r="I10" i="2"/>
  <c r="S13" i="2"/>
  <c r="T13" i="2" s="1"/>
  <c r="Y10" i="2"/>
  <c r="Z10" i="2" s="1"/>
  <c r="W10" i="2"/>
  <c r="S15" i="2"/>
  <c r="T15" i="2" s="1"/>
  <c r="S7" i="2"/>
  <c r="T7" i="2" s="1"/>
  <c r="S9" i="2"/>
  <c r="T9" i="2" s="1"/>
  <c r="Y12" i="2"/>
  <c r="Z12" i="2" s="1"/>
  <c r="W12" i="2"/>
  <c r="S17" i="2"/>
  <c r="T17" i="2" s="1"/>
  <c r="H18" i="2"/>
  <c r="S6" i="2"/>
  <c r="T6" i="2" s="1"/>
  <c r="Y6" i="2" s="1"/>
  <c r="Y16" i="2"/>
  <c r="Z16" i="2" s="1"/>
  <c r="W16" i="2"/>
  <c r="Y8" i="2"/>
  <c r="Z8" i="2" s="1"/>
  <c r="W8" i="2"/>
  <c r="S11" i="2"/>
  <c r="T11" i="2" s="1"/>
  <c r="Y14" i="2"/>
  <c r="Z14" i="2" s="1"/>
  <c r="W14" i="2"/>
  <c r="E4" i="13" l="1"/>
  <c r="E6" i="13" s="1"/>
  <c r="E8" i="13" s="1"/>
  <c r="D6" i="13"/>
  <c r="D8" i="13" s="1"/>
  <c r="G81" i="12"/>
  <c r="G80" i="12"/>
  <c r="G82" i="12"/>
  <c r="E81" i="12"/>
  <c r="E80" i="12"/>
  <c r="E83" i="12"/>
  <c r="E82" i="12"/>
  <c r="BS69" i="4"/>
  <c r="BT69" i="4" s="1"/>
  <c r="BS44" i="4"/>
  <c r="BT44" i="4" s="1"/>
  <c r="BS8" i="4"/>
  <c r="BT8" i="4" s="1"/>
  <c r="BS84" i="4"/>
  <c r="BT84" i="4" s="1"/>
  <c r="H91" i="7"/>
  <c r="G91" i="7"/>
  <c r="H93" i="11"/>
  <c r="E93" i="11"/>
  <c r="G93" i="11" s="1"/>
  <c r="BS7" i="4"/>
  <c r="BT7" i="4" s="1"/>
  <c r="BS70" i="4"/>
  <c r="BT70" i="4" s="1"/>
  <c r="BS41" i="4"/>
  <c r="BT41" i="4" s="1"/>
  <c r="BS62" i="4"/>
  <c r="BT62" i="4" s="1"/>
  <c r="BS40" i="4"/>
  <c r="BT40" i="4" s="1"/>
  <c r="BT85" i="4"/>
  <c r="D24" i="3"/>
  <c r="D25" i="3" s="1"/>
  <c r="N9" i="2"/>
  <c r="O9" i="2" s="1"/>
  <c r="L9" i="2"/>
  <c r="L15" i="2"/>
  <c r="N15" i="2"/>
  <c r="O15" i="2" s="1"/>
  <c r="N10" i="2"/>
  <c r="O10" i="2" s="1"/>
  <c r="L10" i="2"/>
  <c r="W7" i="2"/>
  <c r="Y7" i="2"/>
  <c r="Z7" i="2" s="1"/>
  <c r="N14" i="2"/>
  <c r="O14" i="2" s="1"/>
  <c r="L14" i="2"/>
  <c r="N12" i="2"/>
  <c r="O12" i="2" s="1"/>
  <c r="L12" i="2"/>
  <c r="L17" i="2"/>
  <c r="N17" i="2"/>
  <c r="O17" i="2" s="1"/>
  <c r="L13" i="2"/>
  <c r="N13" i="2"/>
  <c r="O13" i="2" s="1"/>
  <c r="S18" i="2"/>
  <c r="Y11" i="2"/>
  <c r="Z11" i="2" s="1"/>
  <c r="W11" i="2"/>
  <c r="N16" i="2"/>
  <c r="O16" i="2" s="1"/>
  <c r="L16" i="2"/>
  <c r="N8" i="2"/>
  <c r="O8" i="2" s="1"/>
  <c r="L8" i="2"/>
  <c r="L11" i="2"/>
  <c r="N11" i="2"/>
  <c r="O11" i="2" s="1"/>
  <c r="Y17" i="2"/>
  <c r="Z17" i="2" s="1"/>
  <c r="W17" i="2"/>
  <c r="Y9" i="2"/>
  <c r="Z9" i="2" s="1"/>
  <c r="W9" i="2"/>
  <c r="Y15" i="2"/>
  <c r="Z15" i="2" s="1"/>
  <c r="W15" i="2"/>
  <c r="Y13" i="2"/>
  <c r="Z13" i="2" s="1"/>
  <c r="W13" i="2"/>
  <c r="E93" i="12" l="1"/>
  <c r="G93" i="12" s="1"/>
  <c r="H93" i="12"/>
  <c r="W6" i="2"/>
  <c r="Z6" i="2"/>
  <c r="Z18" i="2" s="1"/>
  <c r="O18" i="2"/>
  <c r="G11" i="10" l="1"/>
  <c r="H10" i="10" s="1"/>
  <c r="F13" i="10" l="1"/>
  <c r="F14" i="10" s="1"/>
  <c r="I10" i="10"/>
  <c r="J10" i="10" s="1"/>
  <c r="H24" i="10" l="1"/>
  <c r="H25" i="10" s="1"/>
  <c r="I24" i="10"/>
  <c r="I25" i="10" s="1"/>
  <c r="J25" i="10"/>
  <c r="K6" i="10" l="1"/>
  <c r="K9" i="10"/>
  <c r="K7" i="10"/>
  <c r="K8" i="10"/>
  <c r="F15" i="10"/>
  <c r="H12" i="10" s="1"/>
  <c r="G28" i="10" s="1"/>
  <c r="G31" i="10" s="1"/>
  <c r="G32" i="10" s="1"/>
  <c r="K10" i="10"/>
  <c r="G39" i="10" l="1"/>
  <c r="G40" i="10" s="1"/>
  <c r="G35" i="10"/>
  <c r="G36" i="10" s="1"/>
  <c r="K25" i="10"/>
  <c r="G92" i="11" l="1"/>
  <c r="G92" i="12"/>
  <c r="G90" i="7"/>
</calcChain>
</file>

<file path=xl/sharedStrings.xml><?xml version="1.0" encoding="utf-8"?>
<sst xmlns="http://schemas.openxmlformats.org/spreadsheetml/2006/main" count="854" uniqueCount="350">
  <si>
    <t>Dados retirados do Recibo
EFD - Contribuições</t>
  </si>
  <si>
    <t>Contribuição Social</t>
  </si>
  <si>
    <t>PIS</t>
  </si>
  <si>
    <t>COFINS</t>
  </si>
  <si>
    <t>Nº</t>
  </si>
  <si>
    <t>Mês</t>
  </si>
  <si>
    <t>A</t>
  </si>
  <si>
    <t>B</t>
  </si>
  <si>
    <t>C</t>
  </si>
  <si>
    <t>D</t>
  </si>
  <si>
    <t>E</t>
  </si>
  <si>
    <t>F</t>
  </si>
  <si>
    <t>G</t>
  </si>
  <si>
    <t>H</t>
  </si>
  <si>
    <t>Tipo de Incidência</t>
  </si>
  <si>
    <t>Efetua-se cálculo Reverso para encontrar o Faturamento</t>
  </si>
  <si>
    <t>Faturamento</t>
  </si>
  <si>
    <t>Faturamento Mensal
A</t>
  </si>
  <si>
    <t>Contribuição Apurada
B = A x 1,65% ou 
B = A x 0,65%</t>
  </si>
  <si>
    <t>Crédito Descontado
C</t>
  </si>
  <si>
    <t>Contribuição a Recolher
E = B - C -D</t>
  </si>
  <si>
    <t>Outras Deduções
(***)
F</t>
  </si>
  <si>
    <t>PIS - Efet. Devido
G = B - C- F</t>
  </si>
  <si>
    <t>Percentual Efetivo
H = G/A</t>
  </si>
  <si>
    <t>Contribuição Apurada
B = A x 7,60% ou
B = A x 3,00%</t>
  </si>
  <si>
    <t>COFINS - Efet. Devida
G = B - C - F</t>
  </si>
  <si>
    <t>Percentual
Efetivo
H = G / A</t>
  </si>
  <si>
    <t>Não Cumulativa</t>
  </si>
  <si>
    <t>PIS = FAT*1,65%</t>
  </si>
  <si>
    <t>FAT(A) = PIS (B)/1,65%</t>
  </si>
  <si>
    <t>COFINS = FAT*7,60%</t>
  </si>
  <si>
    <t>FAT(A) = COFINS (B)/7,60%</t>
  </si>
  <si>
    <t>Cumulativa</t>
  </si>
  <si>
    <t>PIS = FAT * 0,65%</t>
  </si>
  <si>
    <t>FAT(A) = PIS (B) / 0,65%</t>
  </si>
  <si>
    <t>COFINS = FAT*3,0%</t>
  </si>
  <si>
    <t>FAT (A) = COFINS (B)/3,0%</t>
  </si>
  <si>
    <t>Total (*)</t>
  </si>
  <si>
    <t>Média Encontrada para o PIS (**)</t>
  </si>
  <si>
    <t>Média Encontrada para a COFINS (**)</t>
  </si>
  <si>
    <t>Obs.</t>
  </si>
  <si>
    <t>(*)</t>
  </si>
  <si>
    <t xml:space="preserve">Cálculo Obrigatório para as empresas tributadas pelo Lucro Presumido ou Lucro Real </t>
  </si>
  <si>
    <t>(**)</t>
  </si>
  <si>
    <t>Cálculo Obrigatório para as empresas submetidas à incidência não cumulativa de PIS e COFINS</t>
  </si>
  <si>
    <t>(***)</t>
  </si>
  <si>
    <t>Caso a licitante deseje contemplar em seus cálculos a coluna de outras deduções, essa deverá apresentar além dos recibos do EFD - Contribuições,  o relatório de "Consolidação da Contribuição para o PIS e COFINS",  emitido pelo EFD-Contribuições, para o mês de competência da dedução.</t>
  </si>
  <si>
    <t xml:space="preserve">item </t>
  </si>
  <si>
    <t>9.3.2.4</t>
  </si>
  <si>
    <t>ac tcu 2622/2013</t>
  </si>
  <si>
    <t>p.76</t>
  </si>
  <si>
    <t>Retenções 
D</t>
  </si>
  <si>
    <t>Retenções
D</t>
  </si>
  <si>
    <t>Fundamento do Mecanismo</t>
  </si>
  <si>
    <t>ÁREAS A SEREM CONSERVADAS</t>
  </si>
  <si>
    <t>Descrição</t>
  </si>
  <si>
    <t>Quantidade</t>
  </si>
  <si>
    <t>Ed. Sede</t>
  </si>
  <si>
    <t>Ed. Anexo</t>
  </si>
  <si>
    <t>Biblioteca</t>
  </si>
  <si>
    <t>Garagem</t>
  </si>
  <si>
    <t>TOTAL</t>
  </si>
  <si>
    <r>
      <rPr>
        <b/>
        <sz val="14"/>
        <color theme="1"/>
        <rFont val="Arial Narrow"/>
        <family val="2"/>
      </rPr>
      <t xml:space="preserve">Pisos Frios </t>
    </r>
    <r>
      <rPr>
        <sz val="14"/>
        <color theme="1"/>
        <rFont val="Arial Narrow"/>
        <family val="2"/>
      </rPr>
      <t>- Área interna (m²)</t>
    </r>
  </si>
  <si>
    <r>
      <rPr>
        <b/>
        <sz val="14"/>
        <color theme="1"/>
        <rFont val="Arial Narrow"/>
        <family val="2"/>
      </rPr>
      <t>Pisos adjacentes às edificações</t>
    </r>
    <r>
      <rPr>
        <sz val="14"/>
        <color theme="1"/>
        <rFont val="Arial Narrow"/>
        <family val="2"/>
      </rPr>
      <t xml:space="preserve"> - Área externa (m²)</t>
    </r>
  </si>
  <si>
    <r>
      <rPr>
        <b/>
        <sz val="14"/>
        <color theme="1"/>
        <rFont val="Arial Narrow"/>
        <family val="2"/>
      </rPr>
      <t>Banheiros</t>
    </r>
    <r>
      <rPr>
        <sz val="14"/>
        <color theme="1"/>
        <rFont val="Arial Narrow"/>
        <family val="2"/>
      </rPr>
      <t xml:space="preserve"> (m²)</t>
    </r>
  </si>
  <si>
    <t>População¹ (un.)</t>
  </si>
  <si>
    <r>
      <rPr>
        <b/>
        <sz val="14"/>
        <rFont val="Arial Narrow"/>
        <family val="2"/>
      </rPr>
      <t>Observação</t>
    </r>
    <r>
      <rPr>
        <sz val="14"/>
        <rFont val="Arial Narrow"/>
        <family val="2"/>
      </rPr>
      <t>: ¹ servidores, estagiários e trabalhadores terceirizados.</t>
    </r>
  </si>
  <si>
    <t>CENÁRIO 1</t>
  </si>
  <si>
    <t xml:space="preserve">Mémoria de Cálculo do Efetivo de Serventes de Limpeza </t>
  </si>
  <si>
    <r>
      <rPr>
        <b/>
        <u/>
        <sz val="13"/>
        <rFont val="Arial Narrow"/>
        <family val="2"/>
      </rPr>
      <t>Pisos Frios</t>
    </r>
    <r>
      <rPr>
        <b/>
        <sz val="13"/>
        <rFont val="Arial Narrow"/>
        <family val="2"/>
      </rPr>
      <t xml:space="preserve">
Área Interna
m²</t>
    </r>
  </si>
  <si>
    <r>
      <rPr>
        <b/>
        <u/>
        <sz val="13"/>
        <rFont val="Arial Narrow"/>
        <family val="2"/>
      </rPr>
      <t>Pisos Adjacentes</t>
    </r>
    <r>
      <rPr>
        <b/>
        <sz val="13"/>
        <rFont val="Arial Narrow"/>
        <family val="2"/>
      </rPr>
      <t xml:space="preserve">
Área Externa
m²</t>
    </r>
  </si>
  <si>
    <t>Banheiros
m²</t>
  </si>
  <si>
    <t>Quantidade total em m²</t>
  </si>
  <si>
    <t>Produtividade por funcionário em m²</t>
  </si>
  <si>
    <t>Necessidade de serventes (quant.)</t>
  </si>
  <si>
    <r>
      <rPr>
        <b/>
        <sz val="13.5"/>
        <color theme="1"/>
        <rFont val="Arial Narrow"/>
        <family val="2"/>
      </rPr>
      <t>Observação:</t>
    </r>
    <r>
      <rPr>
        <sz val="13.5"/>
        <color theme="1"/>
        <rFont val="Arial Narrow"/>
        <family val="2"/>
      </rPr>
      <t xml:space="preserve"> Produtividade conforme art. 44 da IN nº 02/2008 - SLTI / MPOG (Dec. Distrital 36.063/2014)</t>
    </r>
  </si>
  <si>
    <t>QUANTITATIVO DE POSTOS - CENÁRIO 1</t>
  </si>
  <si>
    <t>Cargo</t>
  </si>
  <si>
    <t>Serventes de Limpeza</t>
  </si>
  <si>
    <t>Encarregado de Limpeza</t>
  </si>
  <si>
    <t>Total</t>
  </si>
  <si>
    <t>Segundo Anexo III-F da IN SLTI/MPOG nº 02/208 - 1 encarregado controla até 30 (trinta) serventes</t>
  </si>
  <si>
    <t>MATERIAIS DE CONSUMO SOB DEMANDA</t>
  </si>
  <si>
    <t>PESQUISA DE PREÇO</t>
  </si>
  <si>
    <t>ITEM</t>
  </si>
  <si>
    <t>ESPECIFICAÇÃO</t>
  </si>
  <si>
    <t>Marca/Similar</t>
  </si>
  <si>
    <t>UNID.</t>
  </si>
  <si>
    <t>QTD.</t>
  </si>
  <si>
    <t>Valor Unitário
CT TCDF 21/2010</t>
  </si>
  <si>
    <t>Leroy Merlin</t>
  </si>
  <si>
    <t>Loja do Mecânico</t>
  </si>
  <si>
    <t xml:space="preserve">Média </t>
  </si>
  <si>
    <t>Mediana</t>
  </si>
  <si>
    <t>Preço Unitário</t>
  </si>
  <si>
    <t>Valor Total</t>
  </si>
  <si>
    <t>Valor Total Antigo</t>
  </si>
  <si>
    <t>Total Geral</t>
  </si>
  <si>
    <t>OBSERVAÇÕES</t>
  </si>
  <si>
    <t>Os materias, constantes da planilha de materiais de consumo, serão pagos pelo Contratante de acordo com a sua efetiva utilização durante o mês de prestação dos serviços.</t>
  </si>
  <si>
    <t>A Planilha a seguir refere-se a um quantitaivo mensal a ser cotado pela empresa em sua proposta.</t>
  </si>
  <si>
    <t>Serão desclassificadas as propostas que apresentarem preços unitários superiores a 10% (dez por cento) em relação aos respectivos preços unitários estimados para a contratação,  observadas as hipóteses  de retificação  de que trata o Capitulo V do Edital.</t>
  </si>
  <si>
    <t xml:space="preserve">A eventual indicação de marca de produto destina-se apenas a referenciar aspectos de qualidade sendo aceito produtos similiares. </t>
  </si>
  <si>
    <t>ITEM62</t>
  </si>
  <si>
    <t>Item 06</t>
  </si>
  <si>
    <t>Uasg:389185</t>
  </si>
  <si>
    <t>Uasg: 158329</t>
  </si>
  <si>
    <t>EQUIPAMENTOS A SEREM DISPONIBILIZADOS NOS SERVIÇOS CONTÍNUOS DE LIMPEZA</t>
  </si>
  <si>
    <t>QTD</t>
  </si>
  <si>
    <t>Valor Unitário Aquisição
 (CT TCDF 21/2010)</t>
  </si>
  <si>
    <t>Prop.
Comercial
Alvorada</t>
  </si>
  <si>
    <t>Elétrica
Maya Ltda.</t>
  </si>
  <si>
    <t>Casa Velha Capital</t>
  </si>
  <si>
    <t>Casa das Ferramentas</t>
  </si>
  <si>
    <t>Equimaf</t>
  </si>
  <si>
    <t>P. Eletrônico TCU
 nº 51/2015</t>
  </si>
  <si>
    <t>P. Elet. M.T.E
nº10/2015</t>
  </si>
  <si>
    <t>Espaço da Limpeza</t>
  </si>
  <si>
    <t>Ricardo
Eletro</t>
  </si>
  <si>
    <t>RR Máquinas</t>
  </si>
  <si>
    <t>P.Elet. M. ED.
6-329/2015</t>
  </si>
  <si>
    <t>Mobly</t>
  </si>
  <si>
    <t>Ferramentas
Kennedy</t>
  </si>
  <si>
    <t>Média</t>
  </si>
  <si>
    <t>Valor Unitário de Aquisição</t>
  </si>
  <si>
    <t>VALOR TOTAL</t>
  </si>
  <si>
    <t xml:space="preserve">Dep </t>
  </si>
  <si>
    <t>Valor unitário da depreciação</t>
  </si>
  <si>
    <t>Total Mensal sem BDI</t>
  </si>
  <si>
    <t>Andaime de 10 metros ajustável, com 4 rodízios, 2 diagonais</t>
  </si>
  <si>
    <t>Aspirador de pó e líquidos, potência mínima de 1600 W, 20 litros, tensão 127/220v</t>
  </si>
  <si>
    <t>Aspirador de pó profissional silencioso, com nível de ruído de 55db, de 15 litros, potência de 1300W, tensão 127/220v</t>
  </si>
  <si>
    <t>Cabo prolongador e telescópio ajustável, de até 10 metros, com dispositivos para encaixe de mangueira, em alumínio</t>
  </si>
  <si>
    <t>Carrinho funcional resistente, para limpeza e transporte de produtos e descartáveis, completo, contendo, no mínimo: 
(a) - 3 prateleiras;
(b) - 3 placas sinalizadoras: (1) “cuidado piso molhado”, (2) “banheiro fechado” e (3) “Cuidado área de trabalho”;
(c) - 1 conjunto balde duplo removível com espremedor e rodas, com capacidade total de 50 litros (25 litros cada balde);
(d) - 1 esfregão;
(e) - 1 conjunto completo MOP pó (armação/luva/haste de alumínio), luva em acrílico, lavável;
(f) - 1 conjunto completo MOP líquido (armação/luva/haste de alumínio), com cabeleira em algodão com pontas dobradas ou costuradas para evitar desfiamento;
(g) - 1 bolsa para coleta 90 litros com tampa;
(h) - 1 pá coletora plástica com tampa (com cabo);
(i) - 4 organizadores para acessórios;
(j)  - rodízios fixos e giratórios;
(k) - pode utilizar mop plano e vertical;
(l) - Haste fixadora do saco de lixo;
(m) - cor a definir;</t>
  </si>
  <si>
    <t>Enceradeira polidora UHS baixa amperagem, diâmetro do disco de 505 mm, nível de ruído 68 db a 70 db, potência de 1870 rpm no piso, motor 3 CV mono 60 Hz</t>
  </si>
  <si>
    <t>Enceradeira industrial para lavagem, com escova de 380 mm</t>
  </si>
  <si>
    <t xml:space="preserve">Enceradeira industrial para lavagem, com escova de 440 mm </t>
  </si>
  <si>
    <t>Escada articulada de 14 degraus</t>
  </si>
  <si>
    <t>Escada de ferro de 06 degraus</t>
  </si>
  <si>
    <t>Escada de estrutura metálica de 2 degraus</t>
  </si>
  <si>
    <t>Fio/cabo para extensão monofásica 100m</t>
  </si>
  <si>
    <t>Kit limpeza de vidros: contendo, no mínimo:  1 cabo de fixação; - 1 guia removível 25 cm; - 1 guia removível 35 cm; - 1 raspador de segurança; e 1 lavador de vidros 35 cm</t>
  </si>
  <si>
    <t>Lavadora tipo tanquinho</t>
  </si>
  <si>
    <t>Lavadora de alta pressão, mínimo de 2.175 lbs de potência, vazão 600 l/h, potência 3,3 KW, 220V, com alça de transporte, dosador de detergente integrado e espaço para armazenar o cabo elétrico e a mangueira</t>
  </si>
  <si>
    <t>Lavadora extratora para limpeza profunda e higienização de fibras de carpetes, estofados e ranhuras de pisos, potência 1400w, 220v, vazão 70l/s, capacidade de 4/4 (água suja/limpa), vácuo de 210 mbar</t>
  </si>
  <si>
    <t xml:space="preserve">Limpadora a vapor profissional, potência mínima de 2.250W, 220v, capacidade dos reservatórios de 2,2l + 2,4l, pressão do vapor 3,2 bar, </t>
  </si>
  <si>
    <t>Mangueiras de ¾”, com 100 metros, acompanhada de carrinho para enrolar mangueira</t>
  </si>
  <si>
    <t>TOTAL-GERAL</t>
  </si>
  <si>
    <t>Total R$</t>
  </si>
  <si>
    <t>Tipo</t>
  </si>
  <si>
    <t>Especificações</t>
  </si>
  <si>
    <t>Inicial</t>
  </si>
  <si>
    <t>Semestral</t>
  </si>
  <si>
    <t>Valor Unitário</t>
  </si>
  <si>
    <t>Total Anual</t>
  </si>
  <si>
    <t>Total Mensal</t>
  </si>
  <si>
    <r>
      <t xml:space="preserve">Os valores unitários dos materiais listados estão </t>
    </r>
    <r>
      <rPr>
        <b/>
        <u/>
        <sz val="12"/>
        <rFont val="Arial Narrow"/>
        <family val="2"/>
      </rPr>
      <t>SEM BDI</t>
    </r>
    <r>
      <rPr>
        <sz val="12"/>
        <rFont val="Arial Narrow"/>
        <family val="2"/>
      </rPr>
      <t xml:space="preserve"> ( Custos Indiretos, Lucro e Tributos - Módulo 5), a apropiação desse é feito na planilha Resumo dos Preços dos Serviços. Para fins de liquidação e pagamento, ao valor unitário do material a ser demandado, constante da proposta da Contratada, será acrescido o respectivo BDI. </t>
    </r>
  </si>
  <si>
    <r>
      <t xml:space="preserve">Os valores unitários de disponibilização dos equipamentos estão </t>
    </r>
    <r>
      <rPr>
        <b/>
        <u/>
        <sz val="14"/>
        <rFont val="Arial Narrow"/>
        <family val="2"/>
      </rPr>
      <t>SEM BDI</t>
    </r>
    <r>
      <rPr>
        <sz val="14"/>
        <rFont val="Arial Narrow"/>
        <family val="2"/>
      </rPr>
      <t xml:space="preserve"> ( Custos Indiretos, Lucro e Tributos - Módulo 5), a apropiação desse é feito na planilha Resumo dos Preços dos Serviços. </t>
    </r>
  </si>
  <si>
    <t>DESCRIÇÃO</t>
  </si>
  <si>
    <t>PERCENTUAL</t>
  </si>
  <si>
    <t>VALOR (R$)</t>
  </si>
  <si>
    <t>Módulo 1: Composição da Remuneração</t>
  </si>
  <si>
    <t>Salário Base</t>
  </si>
  <si>
    <t>Adicional a título de Periculosidade (CCT Cláusula Décima-Segunda)</t>
  </si>
  <si>
    <t>Adicional de Insalubridade</t>
  </si>
  <si>
    <t>Adicional Noturno</t>
  </si>
  <si>
    <t>Hora Noturna Adicional</t>
  </si>
  <si>
    <t>Adicional de Hora Extra</t>
  </si>
  <si>
    <t>Intervalo Intrajornada</t>
  </si>
  <si>
    <t xml:space="preserve">Outros (especificar) </t>
  </si>
  <si>
    <t>Total da Remuneração – Módulo 1 (R$)</t>
  </si>
  <si>
    <t>Módulo 2: Benefícios Mensais e Diários</t>
  </si>
  <si>
    <t>Transporte</t>
  </si>
  <si>
    <t>Desconto Legal do Vale Transporte (6% salário Base)</t>
  </si>
  <si>
    <t>Auxílio Alimentação</t>
  </si>
  <si>
    <t>Total de Benefícios Mensais e Diários – Módulo 2 (R$)</t>
  </si>
  <si>
    <t>Módulo 3: Insumos Diversos</t>
  </si>
  <si>
    <t>Uniformes</t>
  </si>
  <si>
    <t>Materiais</t>
  </si>
  <si>
    <t>Equipamentos</t>
  </si>
  <si>
    <t xml:space="preserve">Total de Insumos Diversos – Módulo 3 (R$) </t>
  </si>
  <si>
    <t>Módulo 4: Encargos Sociais e trabalhistas</t>
  </si>
  <si>
    <t>Submódulo 4.1 – Encargos Previdenciários e FGTS:</t>
  </si>
  <si>
    <r>
      <t>INSS</t>
    </r>
    <r>
      <rPr>
        <sz val="20"/>
        <color indexed="8"/>
        <rFont val="Arial Narrow"/>
        <family val="2"/>
      </rPr>
      <t xml:space="preserve"> </t>
    </r>
  </si>
  <si>
    <t xml:space="preserve"> SESC </t>
  </si>
  <si>
    <t>SENAC</t>
  </si>
  <si>
    <r>
      <t>INCRA</t>
    </r>
    <r>
      <rPr>
        <sz val="20"/>
        <color indexed="8"/>
        <rFont val="Arial Narrow"/>
        <family val="2"/>
      </rPr>
      <t xml:space="preserve"> </t>
    </r>
  </si>
  <si>
    <r>
      <t>Salário Educação</t>
    </r>
    <r>
      <rPr>
        <sz val="20"/>
        <color indexed="8"/>
        <rFont val="Arial Narrow"/>
        <family val="2"/>
      </rPr>
      <t xml:space="preserve"> </t>
    </r>
  </si>
  <si>
    <r>
      <t>FGTS</t>
    </r>
    <r>
      <rPr>
        <i/>
        <u/>
        <sz val="20"/>
        <color indexed="8"/>
        <rFont val="Arial Narrow"/>
        <family val="2"/>
      </rPr>
      <t xml:space="preserve"> </t>
    </r>
  </si>
  <si>
    <r>
      <t xml:space="preserve">RAT ou antigo </t>
    </r>
    <r>
      <rPr>
        <b/>
        <sz val="20"/>
        <color indexed="8"/>
        <rFont val="Arial Narrow"/>
        <family val="2"/>
      </rPr>
      <t>SAT</t>
    </r>
    <r>
      <rPr>
        <sz val="20"/>
        <color indexed="8"/>
        <rFont val="Arial Narrow"/>
        <family val="2"/>
      </rPr>
      <t xml:space="preserve">/INSS </t>
    </r>
  </si>
  <si>
    <r>
      <t>SEBRAE</t>
    </r>
    <r>
      <rPr>
        <sz val="20"/>
        <color indexed="8"/>
        <rFont val="Arial Narrow"/>
        <family val="2"/>
      </rPr>
      <t xml:space="preserve"> </t>
    </r>
  </si>
  <si>
    <t>Total Encargos Previdenciários e FGTS - Submódulo 4.1 (R$)</t>
  </si>
  <si>
    <t>Submódulo 4.2 – 13º Salário e Adicional de Férias</t>
  </si>
  <si>
    <t>13º Salário</t>
  </si>
  <si>
    <t>Adicional de Férias</t>
  </si>
  <si>
    <t>Incidência do submódulo 4.1 sobre 13º Salário e Adicional de Férias</t>
  </si>
  <si>
    <t>Total 13º Salário e Adicional de Férias – Submódulo 4.2 (R$)</t>
  </si>
  <si>
    <t>Submódulo 4.3 – Afastamento Maternidade:</t>
  </si>
  <si>
    <t>Férias Proporcionais relativas ao Afastamento Maternidade</t>
  </si>
  <si>
    <t>Incidência do submódulo 4.1 sobre as Férias Proporcionais</t>
  </si>
  <si>
    <t>Incidência do submódulo 4.1 sobre o período licença-maternidade</t>
  </si>
  <si>
    <t>Total Afastamento Maternidade – Submódulo 4.3 (R$)</t>
  </si>
  <si>
    <t>Submódulo 4.4 – Provisão para Rescisão:</t>
  </si>
  <si>
    <t>Aviso Prévio Indenizado</t>
  </si>
  <si>
    <t>Incid. do submódulo. 4.1 sobre o reflexo do aviso prévio indenizado no 13º</t>
  </si>
  <si>
    <t>Multa do FGTS do aviso prévio indenizado</t>
  </si>
  <si>
    <t>Multa do FGTS para Rescisão sem justa Causa</t>
  </si>
  <si>
    <t>Indenização Adicional</t>
  </si>
  <si>
    <t>Total Provisão para Recisão – Submódulo 4.4 (R$)</t>
  </si>
  <si>
    <t>Submódulo 4.5 – Custo de Reposição do Profissional Ausente</t>
  </si>
  <si>
    <t>Reposição relativa a Férias</t>
  </si>
  <si>
    <t>Reposição relativa a Ausência por Doença</t>
  </si>
  <si>
    <t>Reposição referente a Licença Paternidade</t>
  </si>
  <si>
    <t>Reposição devido a Ausências Legais</t>
  </si>
  <si>
    <t>Reposição relativa a Ausência por Acidente de Trabalho</t>
  </si>
  <si>
    <t>Reposição devido a concessão de Aviso Prévio Trabalhado</t>
  </si>
  <si>
    <t>Incidência do submódulo 4.1 sobre o Custo de Reposição</t>
  </si>
  <si>
    <t>Incidência dos submódulos 4.2, 4.3 e 4.4 sobre o Custo de Reposição</t>
  </si>
  <si>
    <t>Total C. Reposição do Profissional Ausente – Submódulo 4.5 (R$)</t>
  </si>
  <si>
    <t>Total de Encargos Sociais e Trabalhistas – Módulo 4 (R$)</t>
  </si>
  <si>
    <t>SubTotal Módulos 1, 2, 3 e 4 (R$)</t>
  </si>
  <si>
    <t>Módulo 5 – CUSTOS INDIRETOS, LUCRO E TRIBUTOS</t>
  </si>
  <si>
    <t>Custos Indiretos (Despesas Administrativas / Operacionais)</t>
  </si>
  <si>
    <t>Lucro</t>
  </si>
  <si>
    <t>Total Custos Indiretos e Lucro (Demais Componentes) (R$)</t>
  </si>
  <si>
    <t>SubTotal -  Módulos 1,2,3 e 4 + Custos Indiretos + Lucro (Po)</t>
  </si>
  <si>
    <t xml:space="preserve"> TRIBUTOS</t>
  </si>
  <si>
    <t>To</t>
  </si>
  <si>
    <t>ISS</t>
  </si>
  <si>
    <t>Opções - Formúlas - Cálculo Iterativo</t>
  </si>
  <si>
    <t>Total - Tributos (R$)</t>
  </si>
  <si>
    <t>Total de Custos Indiretos, Lucro e Tributos (BDI) -  Módulo 5 (R$)</t>
  </si>
  <si>
    <t>Po = Remuneração + Benefícios + Insumos + Enc. Sociais + Custos Indiretos + Lucro</t>
  </si>
  <si>
    <t>P1 (Valor mensal final a ser pago – faturamento) = Po + Tributos</t>
  </si>
  <si>
    <t>Tributos = To (Percentual) x P1 (Imposto por dentro)</t>
  </si>
  <si>
    <t>P1 = Po + To x P1</t>
  </si>
  <si>
    <t>P1 – To x P1 = Po</t>
  </si>
  <si>
    <t>P1=Po/(1-To)</t>
  </si>
  <si>
    <t>Tributos = To x P1 = P1-Po</t>
  </si>
  <si>
    <t>PREÇO POSTO MÊS (R$)</t>
  </si>
  <si>
    <t>BDI (%)</t>
  </si>
  <si>
    <t>Os equipamentos ficarão à disposição exclusiva do órgão contratante dos serviços</t>
  </si>
  <si>
    <t>A disponibilização dos equipamentos, constantes dessa planilha, será pago de forma mensal de acordo com o custo de depreciação acrescido do respectivo BDI.</t>
  </si>
  <si>
    <t>nº</t>
  </si>
  <si>
    <t>Segunda</t>
  </si>
  <si>
    <t>Terça</t>
  </si>
  <si>
    <t xml:space="preserve">Quarta </t>
  </si>
  <si>
    <t>Quinta</t>
  </si>
  <si>
    <t>Sexta</t>
  </si>
  <si>
    <t xml:space="preserve">Sábado </t>
  </si>
  <si>
    <t>Domingo</t>
  </si>
  <si>
    <t>dias ef. Trab:</t>
  </si>
  <si>
    <t>Vale Transporte</t>
  </si>
  <si>
    <t>Posto</t>
  </si>
  <si>
    <t>Valor Mensal</t>
  </si>
  <si>
    <t>44 horas</t>
  </si>
  <si>
    <t>Rodoviária até  Órgão</t>
  </si>
  <si>
    <t>Valor Considerado</t>
  </si>
  <si>
    <t>Fonte dos Dados</t>
  </si>
  <si>
    <t>Dias Efetivamente Trabalhados</t>
  </si>
  <si>
    <t>Vale alimentação¹</t>
  </si>
  <si>
    <t>¹ As licitantes poderão cotar valores inferiores para o Vale Transporte, o que não exime o cumprimento do disposto na Lei nº 7.418/85.</t>
  </si>
  <si>
    <t>Seguro de Vida e Assitência Funeral</t>
  </si>
  <si>
    <t>Assitência Odontológica</t>
  </si>
  <si>
    <t>Plano de Saúde</t>
  </si>
  <si>
    <t>1)</t>
  </si>
  <si>
    <t>2)</t>
  </si>
  <si>
    <t>A apropriação dos Custos Indiretos, Lucros e Tributos (BDI - Módulo 5) é feita  na Planilha Resumo dos Preços dos Serviços</t>
  </si>
  <si>
    <t xml:space="preserve">PLANILHA RESUMO DOS PREÇOS DOS SERVIÇOS </t>
  </si>
  <si>
    <t>Valores Imbutidos do Imposto</t>
  </si>
  <si>
    <t>Percentual de Contribuição</t>
  </si>
  <si>
    <t>DISCRIMINAÇÃO</t>
  </si>
  <si>
    <t>QUANT.</t>
  </si>
  <si>
    <t>PREÇO UNITÁRIO</t>
  </si>
  <si>
    <t>SUB TOTAL</t>
  </si>
  <si>
    <t>Valor Mensal em R$</t>
  </si>
  <si>
    <t>Valor Total em R$</t>
  </si>
  <si>
    <t>(%)</t>
  </si>
  <si>
    <t>Valor Unitário com BDI (Por Pessoa)</t>
  </si>
  <si>
    <t>1.3</t>
  </si>
  <si>
    <t>1.4</t>
  </si>
  <si>
    <t>1.5</t>
  </si>
  <si>
    <t>Disponibilização de Equipamentos</t>
  </si>
  <si>
    <t>1.6</t>
  </si>
  <si>
    <t>BONIFICAÇÕES E DESPESAS INDIRETAS</t>
  </si>
  <si>
    <t>2.1</t>
  </si>
  <si>
    <t>Despesas Administrativas</t>
  </si>
  <si>
    <t>2.2</t>
  </si>
  <si>
    <t>2.3</t>
  </si>
  <si>
    <t>Impostos e Contribuições Sociais Sobre o Faturamento</t>
  </si>
  <si>
    <t>T0</t>
  </si>
  <si>
    <t>Vt</t>
  </si>
  <si>
    <t>Fórmula para encontrar o valor mensal estimado dos serviços (P1)</t>
  </si>
  <si>
    <t>P1= P0 + Vt</t>
  </si>
  <si>
    <t>Vt = T0 x P1</t>
  </si>
  <si>
    <t>P1= P0 /(1-T0)</t>
  </si>
  <si>
    <t>TOTAL GERAL MENSAL ESTIMADO (R$)</t>
  </si>
  <si>
    <t>P1</t>
  </si>
  <si>
    <t>TOTAL GERAL ESTIMADO PARA 12 (DOZE) MESES (R$)</t>
  </si>
  <si>
    <t>BDI</t>
  </si>
  <si>
    <t>P0 = (A+B+C+D)</t>
  </si>
  <si>
    <t>Adicional a título de Periculosidade</t>
  </si>
  <si>
    <t>PLANILHA DE CUSTO E FORMAÇÃO DE PREÇOS  - COPEIRA</t>
  </si>
  <si>
    <t>SESC/SESI</t>
  </si>
  <si>
    <t>SENAC/SENAI</t>
  </si>
  <si>
    <t>Garçom</t>
  </si>
  <si>
    <t xml:space="preserve">Copeira </t>
  </si>
  <si>
    <t>Custo Direto do Garçom</t>
  </si>
  <si>
    <t>Custo Indireto do Garçom</t>
  </si>
  <si>
    <t>Custo Final do Garçom</t>
  </si>
  <si>
    <t>GARÇOM</t>
  </si>
  <si>
    <t>COPEIRA</t>
  </si>
  <si>
    <t>Copeira</t>
  </si>
  <si>
    <t>Encarregado(a)</t>
  </si>
  <si>
    <t>Planilha de Custo e Formação de Preços  - ENCARREGADO(A)</t>
  </si>
  <si>
    <t>ENCARREGADO(A)</t>
  </si>
  <si>
    <t>Encarregado(o)</t>
  </si>
  <si>
    <t>Consultar Legislação Correspondente</t>
  </si>
  <si>
    <t>Consultar CCT Vigente da Categoria</t>
  </si>
  <si>
    <t>Valor Diário</t>
  </si>
  <si>
    <t>Órgão até Rodoviária</t>
  </si>
  <si>
    <t>Cidade Satélite ou Entorno até a Rodoviária</t>
  </si>
  <si>
    <t>Rodoviária até Cidade Satélite ou Entorno</t>
  </si>
  <si>
    <t>Circular</t>
  </si>
  <si>
    <t>MATERIAL DE CONSUMO SOB DEMANDA</t>
  </si>
  <si>
    <t>Custo Direto do Copeira</t>
  </si>
  <si>
    <t>Custo Indireto do Copeira</t>
  </si>
  <si>
    <t>Custo Final do Copeira</t>
  </si>
  <si>
    <t>Custo Direto do Encarregado(a)</t>
  </si>
  <si>
    <t>Custo Indireto do Encarregado(a)</t>
  </si>
  <si>
    <t>Custo Final do Encarregado(a)</t>
  </si>
  <si>
    <t>SERVIÇOS CONTÍNUOS DE COPERAGEM E GARÇOM</t>
  </si>
  <si>
    <t>1.7</t>
  </si>
  <si>
    <t>Material de Consumo sob demanda</t>
  </si>
  <si>
    <t>Planilha de Custo e Formação de Preços  - GARÇOM</t>
  </si>
  <si>
    <t>EMPRESA       A</t>
  </si>
  <si>
    <t>Integração/Ligação</t>
  </si>
  <si>
    <t>Contribuição Assistencial Patronal CCT/2017 (Cláusula Quinquagésima Nona)</t>
  </si>
  <si>
    <t>Consulta a Convenção coletiva de trabalho da categoria SINDISERVIÇOS x SEAC/ DF - 2017</t>
  </si>
  <si>
    <t>Materiais (preencher planilha "D" - anexo II - do termo de referência</t>
  </si>
  <si>
    <t>Equipamentos (não aplicável)</t>
  </si>
  <si>
    <t>CATEGORIA</t>
  </si>
  <si>
    <t>QDE</t>
  </si>
  <si>
    <t>PREÇO MENSAL</t>
  </si>
  <si>
    <t>SUBL TOTAL</t>
  </si>
  <si>
    <t>MATERIAL DE CONSUMO</t>
  </si>
  <si>
    <t>PREÇO TOTAL (ESTIMADO)</t>
  </si>
  <si>
    <t>-</t>
  </si>
  <si>
    <t>PREÇO ANUAL</t>
  </si>
  <si>
    <t>TRIBUTOS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</si>
</sst>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/mm/yy;@"/>
    <numFmt numFmtId="166" formatCode="#,##0_ ;\-#,##0\ "/>
    <numFmt numFmtId="167" formatCode="&quot;R$&quot;\ #,##0.00"/>
    <numFmt numFmtId="168" formatCode="0.000%"/>
    <numFmt numFmtId="169" formatCode="#,##0.00;[Red]#,##0.00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i/>
      <u/>
      <sz val="14"/>
      <color theme="1"/>
      <name val="Arial Narrow"/>
      <family val="2"/>
    </font>
    <font>
      <sz val="14"/>
      <color rgb="FF7030A0"/>
      <name val="Arial Narrow"/>
      <family val="2"/>
    </font>
    <font>
      <sz val="14"/>
      <name val="Arial Narrow"/>
      <family val="2"/>
    </font>
    <font>
      <b/>
      <sz val="14"/>
      <color rgb="FFFF0000"/>
      <name val="Arial Narrow"/>
      <family val="2"/>
    </font>
    <font>
      <b/>
      <sz val="14"/>
      <name val="Arial Narrow"/>
      <family val="2"/>
    </font>
    <font>
      <sz val="14"/>
      <color theme="0"/>
      <name val="Arial Narrow"/>
      <family val="2"/>
    </font>
    <font>
      <b/>
      <sz val="13"/>
      <name val="Arial Narrow"/>
      <family val="2"/>
    </font>
    <font>
      <b/>
      <u/>
      <sz val="13"/>
      <name val="Arial Narrow"/>
      <family val="2"/>
    </font>
    <font>
      <sz val="13.5"/>
      <color theme="1"/>
      <name val="Arial Narrow"/>
      <family val="2"/>
    </font>
    <font>
      <b/>
      <sz val="13.5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0"/>
      <name val="Arial"/>
      <family val="2"/>
      <charset val="1"/>
    </font>
    <font>
      <b/>
      <u/>
      <sz val="12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14"/>
      <name val="Arial Narrow"/>
      <family val="2"/>
    </font>
    <font>
      <sz val="20"/>
      <color theme="1"/>
      <name val="Arial Narrow"/>
      <family val="2"/>
    </font>
    <font>
      <sz val="18"/>
      <color theme="1"/>
      <name val="Arial"/>
      <family val="2"/>
    </font>
    <font>
      <b/>
      <sz val="20"/>
      <color theme="1"/>
      <name val="Arial Narrow"/>
      <family val="2"/>
    </font>
    <font>
      <sz val="20"/>
      <name val="Arial Narrow"/>
      <family val="2"/>
    </font>
    <font>
      <b/>
      <sz val="18"/>
      <color theme="1"/>
      <name val="Arial"/>
      <family val="2"/>
    </font>
    <font>
      <sz val="11"/>
      <color theme="1"/>
      <name val="Arial Narrow"/>
      <family val="2"/>
    </font>
    <font>
      <sz val="20"/>
      <color indexed="8"/>
      <name val="Arial Narrow"/>
      <family val="2"/>
    </font>
    <font>
      <b/>
      <sz val="20"/>
      <color indexed="8"/>
      <name val="Arial Narrow"/>
      <family val="2"/>
    </font>
    <font>
      <i/>
      <u/>
      <sz val="18"/>
      <color theme="1"/>
      <name val="Arial"/>
      <family val="2"/>
    </font>
    <font>
      <b/>
      <i/>
      <u/>
      <sz val="20"/>
      <color theme="1"/>
      <name val="Arial Narrow"/>
      <family val="2"/>
    </font>
    <font>
      <i/>
      <u/>
      <sz val="20"/>
      <color indexed="8"/>
      <name val="Arial Narrow"/>
      <family val="2"/>
    </font>
    <font>
      <sz val="20"/>
      <color rgb="FFFF0000"/>
      <name val="Arial Narrow"/>
      <family val="2"/>
    </font>
    <font>
      <i/>
      <u/>
      <sz val="20"/>
      <color theme="1"/>
      <name val="Arial Narrow"/>
      <family val="2"/>
    </font>
    <font>
      <sz val="18"/>
      <color rgb="FFFF0000"/>
      <name val="Arial"/>
      <family val="2"/>
    </font>
    <font>
      <sz val="18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rgb="FF000000"/>
      <name val="Arial Narrow"/>
      <family val="2"/>
      <charset val="1"/>
    </font>
    <font>
      <sz val="20"/>
      <color rgb="FF000000"/>
      <name val="Calibri"/>
      <family val="2"/>
      <charset val="1"/>
    </font>
    <font>
      <sz val="20"/>
      <color rgb="FF000000"/>
      <name val="Arial Narrow"/>
      <family val="2"/>
    </font>
    <font>
      <b/>
      <u/>
      <sz val="11"/>
      <name val="Arial"/>
      <family val="2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ck">
        <color indexed="64"/>
      </diagonal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7" fillId="0" borderId="0"/>
    <xf numFmtId="44" fontId="1" fillId="0" borderId="0" applyFont="0" applyFill="0" applyBorder="0" applyAlignment="0" applyProtection="0"/>
    <xf numFmtId="0" fontId="22" fillId="0" borderId="0"/>
    <xf numFmtId="0" fontId="17" fillId="0" borderId="0"/>
    <xf numFmtId="0" fontId="1" fillId="0" borderId="0"/>
    <xf numFmtId="0" fontId="1" fillId="0" borderId="0"/>
    <xf numFmtId="0" fontId="22" fillId="0" borderId="0"/>
    <xf numFmtId="44" fontId="1" fillId="0" borderId="0" applyFont="0" applyFill="0" applyBorder="0" applyAlignment="0" applyProtection="0"/>
  </cellStyleXfs>
  <cellXfs count="634">
    <xf numFmtId="0" fontId="0" fillId="0" borderId="0" xfId="0"/>
    <xf numFmtId="0" fontId="3" fillId="0" borderId="1" xfId="1" applyFont="1" applyBorder="1" applyAlignment="1"/>
    <xf numFmtId="44" fontId="4" fillId="0" borderId="0" xfId="1" applyNumberFormat="1" applyFont="1"/>
    <xf numFmtId="0" fontId="4" fillId="0" borderId="0" xfId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44" fontId="4" fillId="0" borderId="0" xfId="1" applyNumberFormat="1" applyFont="1" applyAlignment="1">
      <alignment horizontal="center" vertical="center"/>
    </xf>
    <xf numFmtId="10" fontId="4" fillId="0" borderId="0" xfId="1" applyNumberFormat="1" applyFont="1" applyAlignment="1">
      <alignment horizontal="center" vertical="center"/>
    </xf>
    <xf numFmtId="44" fontId="5" fillId="0" borderId="3" xfId="1" applyNumberFormat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44" fontId="4" fillId="0" borderId="13" xfId="1" applyNumberFormat="1" applyFont="1" applyBorder="1" applyAlignment="1">
      <alignment horizontal="center" vertical="center"/>
    </xf>
    <xf numFmtId="44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4" fontId="6" fillId="0" borderId="3" xfId="1" applyNumberFormat="1" applyFont="1" applyFill="1" applyBorder="1" applyAlignment="1">
      <alignment horizontal="center" vertical="center" wrapText="1"/>
    </xf>
    <xf numFmtId="44" fontId="3" fillId="5" borderId="2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44" fontId="3" fillId="2" borderId="13" xfId="1" applyNumberFormat="1" applyFont="1" applyFill="1" applyBorder="1" applyAlignment="1">
      <alignment horizontal="center" vertical="center" wrapText="1"/>
    </xf>
    <xf numFmtId="44" fontId="3" fillId="2" borderId="2" xfId="1" applyNumberFormat="1" applyFont="1" applyFill="1" applyBorder="1" applyAlignment="1">
      <alignment horizontal="center" vertical="center" wrapText="1"/>
    </xf>
    <xf numFmtId="44" fontId="3" fillId="0" borderId="2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44" fontId="3" fillId="6" borderId="2" xfId="1" applyNumberFormat="1" applyFont="1" applyFill="1" applyBorder="1" applyAlignment="1">
      <alignment horizontal="center" vertical="center" wrapText="1"/>
    </xf>
    <xf numFmtId="44" fontId="4" fillId="0" borderId="0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44" fontId="7" fillId="0" borderId="12" xfId="1" applyNumberFormat="1" applyFont="1" applyBorder="1" applyAlignment="1">
      <alignment horizontal="center" vertical="center"/>
    </xf>
    <xf numFmtId="44" fontId="7" fillId="0" borderId="13" xfId="1" applyNumberFormat="1" applyFont="1" applyBorder="1" applyAlignment="1">
      <alignment horizontal="center" vertical="center"/>
    </xf>
    <xf numFmtId="44" fontId="8" fillId="0" borderId="2" xfId="1" applyNumberFormat="1" applyFont="1" applyBorder="1" applyAlignment="1">
      <alignment horizontal="center" vertical="center"/>
    </xf>
    <xf numFmtId="44" fontId="7" fillId="0" borderId="2" xfId="1" applyNumberFormat="1" applyFont="1" applyFill="1" applyBorder="1" applyAlignment="1">
      <alignment horizontal="center" vertical="center"/>
    </xf>
    <xf numFmtId="44" fontId="4" fillId="0" borderId="2" xfId="1" applyNumberFormat="1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44" fontId="4" fillId="0" borderId="17" xfId="1" applyNumberFormat="1" applyFont="1" applyBorder="1" applyAlignment="1">
      <alignment horizontal="center" vertical="center"/>
    </xf>
    <xf numFmtId="165" fontId="4" fillId="0" borderId="10" xfId="1" applyNumberFormat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44" fontId="4" fillId="0" borderId="10" xfId="1" applyNumberFormat="1" applyFont="1" applyBorder="1" applyAlignment="1">
      <alignment horizontal="center" vertical="center"/>
    </xf>
    <xf numFmtId="44" fontId="10" fillId="3" borderId="22" xfId="1" applyNumberFormat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44" fontId="3" fillId="4" borderId="22" xfId="1" applyNumberFormat="1" applyFont="1" applyFill="1" applyBorder="1" applyAlignment="1">
      <alignment vertical="center"/>
    </xf>
    <xf numFmtId="0" fontId="3" fillId="6" borderId="23" xfId="1" applyFont="1" applyFill="1" applyBorder="1" applyAlignment="1">
      <alignment vertical="center"/>
    </xf>
    <xf numFmtId="0" fontId="3" fillId="8" borderId="16" xfId="1" applyFont="1" applyFill="1" applyBorder="1" applyAlignment="1">
      <alignment horizontal="center" vertical="center"/>
    </xf>
    <xf numFmtId="10" fontId="4" fillId="0" borderId="0" xfId="1" applyNumberFormat="1" applyFont="1" applyBorder="1" applyAlignment="1">
      <alignment horizontal="center" vertical="center"/>
    </xf>
    <xf numFmtId="0" fontId="4" fillId="0" borderId="0" xfId="1" applyFont="1"/>
    <xf numFmtId="44" fontId="3" fillId="0" borderId="2" xfId="1" applyNumberFormat="1" applyFont="1" applyBorder="1" applyAlignment="1">
      <alignment horizontal="center" vertical="center"/>
    </xf>
    <xf numFmtId="9" fontId="9" fillId="0" borderId="0" xfId="1" applyNumberFormat="1" applyFont="1" applyFill="1" applyAlignment="1">
      <alignment horizontal="center" vertical="center"/>
    </xf>
    <xf numFmtId="10" fontId="3" fillId="10" borderId="2" xfId="1" applyNumberFormat="1" applyFont="1" applyFill="1" applyBorder="1" applyAlignment="1">
      <alignment horizontal="center" vertical="center"/>
    </xf>
    <xf numFmtId="10" fontId="3" fillId="11" borderId="2" xfId="1" applyNumberFormat="1" applyFont="1" applyFill="1" applyBorder="1" applyAlignment="1">
      <alignment horizontal="center" vertical="center"/>
    </xf>
    <xf numFmtId="44" fontId="3" fillId="14" borderId="2" xfId="1" applyNumberFormat="1" applyFont="1" applyFill="1" applyBorder="1" applyAlignment="1">
      <alignment horizontal="center" vertical="center"/>
    </xf>
    <xf numFmtId="0" fontId="3" fillId="14" borderId="2" xfId="1" applyFont="1" applyFill="1" applyBorder="1" applyAlignment="1">
      <alignment horizontal="center" vertical="center"/>
    </xf>
    <xf numFmtId="165" fontId="3" fillId="14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0" xfId="0" applyFont="1"/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/>
    <xf numFmtId="0" fontId="10" fillId="15" borderId="28" xfId="0" applyFont="1" applyFill="1" applyBorder="1" applyAlignment="1">
      <alignment horizontal="center" vertical="center" wrapText="1"/>
    </xf>
    <xf numFmtId="0" fontId="12" fillId="15" borderId="28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3" fillId="15" borderId="28" xfId="0" applyNumberFormat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justify" vertical="center"/>
    </xf>
    <xf numFmtId="0" fontId="19" fillId="0" borderId="0" xfId="2" applyFont="1" applyAlignment="1">
      <alignment horizontal="center" vertical="center"/>
    </xf>
    <xf numFmtId="44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8" fillId="0" borderId="0" xfId="2" applyFont="1"/>
    <xf numFmtId="44" fontId="18" fillId="0" borderId="0" xfId="2" applyNumberFormat="1" applyFont="1" applyAlignment="1">
      <alignment horizontal="center" vertical="center"/>
    </xf>
    <xf numFmtId="0" fontId="20" fillId="17" borderId="24" xfId="2" applyFont="1" applyFill="1" applyBorder="1" applyAlignment="1">
      <alignment vertical="center" wrapText="1"/>
    </xf>
    <xf numFmtId="0" fontId="20" fillId="17" borderId="13" xfId="2" applyFont="1" applyFill="1" applyBorder="1" applyAlignment="1">
      <alignment vertical="center" wrapText="1"/>
    </xf>
    <xf numFmtId="0" fontId="18" fillId="0" borderId="3" xfId="2" applyFont="1" applyBorder="1"/>
    <xf numFmtId="0" fontId="18" fillId="0" borderId="0" xfId="2" applyFont="1" applyAlignment="1">
      <alignment wrapText="1"/>
    </xf>
    <xf numFmtId="44" fontId="18" fillId="0" borderId="2" xfId="2" applyNumberFormat="1" applyFont="1" applyBorder="1" applyAlignment="1">
      <alignment horizontal="center" vertical="center"/>
    </xf>
    <xf numFmtId="0" fontId="18" fillId="0" borderId="0" xfId="2" applyNumberFormat="1" applyFont="1"/>
    <xf numFmtId="44" fontId="18" fillId="0" borderId="2" xfId="2" applyNumberFormat="1" applyFont="1" applyBorder="1" applyAlignment="1">
      <alignment vertical="center"/>
    </xf>
    <xf numFmtId="0" fontId="18" fillId="0" borderId="0" xfId="2" applyFont="1" applyAlignment="1">
      <alignment horizontal="center"/>
    </xf>
    <xf numFmtId="0" fontId="18" fillId="0" borderId="17" xfId="2" applyFont="1" applyBorder="1" applyAlignment="1">
      <alignment horizontal="center" vertical="center"/>
    </xf>
    <xf numFmtId="0" fontId="19" fillId="0" borderId="17" xfId="2" applyFont="1" applyBorder="1" applyAlignment="1">
      <alignment horizontal="justify" vertical="center"/>
    </xf>
    <xf numFmtId="0" fontId="19" fillId="0" borderId="17" xfId="2" applyFont="1" applyBorder="1" applyAlignment="1">
      <alignment horizontal="center" vertical="center"/>
    </xf>
    <xf numFmtId="0" fontId="20" fillId="17" borderId="11" xfId="2" applyFont="1" applyFill="1" applyBorder="1" applyAlignment="1">
      <alignment horizontal="center" vertical="center" wrapText="1"/>
    </xf>
    <xf numFmtId="0" fontId="20" fillId="0" borderId="2" xfId="4" applyFont="1" applyBorder="1" applyAlignment="1">
      <alignment horizontal="center" vertical="center"/>
    </xf>
    <xf numFmtId="0" fontId="8" fillId="0" borderId="0" xfId="5" applyFont="1"/>
    <xf numFmtId="0" fontId="8" fillId="0" borderId="0" xfId="5" applyFont="1" applyAlignment="1">
      <alignment horizontal="center" vertical="center"/>
    </xf>
    <xf numFmtId="0" fontId="18" fillId="0" borderId="0" xfId="5" applyFont="1"/>
    <xf numFmtId="0" fontId="17" fillId="0" borderId="0" xfId="5"/>
    <xf numFmtId="0" fontId="10" fillId="16" borderId="11" xfId="5" applyFont="1" applyFill="1" applyBorder="1" applyAlignment="1">
      <alignment vertical="center" wrapText="1"/>
    </xf>
    <xf numFmtId="0" fontId="10" fillId="16" borderId="24" xfId="5" applyFont="1" applyFill="1" applyBorder="1" applyAlignment="1">
      <alignment horizontal="center" vertical="center" wrapText="1"/>
    </xf>
    <xf numFmtId="0" fontId="10" fillId="16" borderId="24" xfId="5" applyFont="1" applyFill="1" applyBorder="1" applyAlignment="1">
      <alignment vertical="center" wrapText="1"/>
    </xf>
    <xf numFmtId="0" fontId="10" fillId="16" borderId="13" xfId="5" applyFont="1" applyFill="1" applyBorder="1" applyAlignment="1">
      <alignment vertical="center" wrapText="1"/>
    </xf>
    <xf numFmtId="0" fontId="18" fillId="0" borderId="0" xfId="5" applyFont="1" applyAlignment="1">
      <alignment horizontal="center" vertical="center"/>
    </xf>
    <xf numFmtId="0" fontId="17" fillId="0" borderId="0" xfId="5" applyAlignment="1">
      <alignment horizontal="center" vertical="center"/>
    </xf>
    <xf numFmtId="0" fontId="10" fillId="16" borderId="2" xfId="5" applyFont="1" applyFill="1" applyBorder="1" applyAlignment="1">
      <alignment horizontal="center" vertical="center" wrapText="1"/>
    </xf>
    <xf numFmtId="0" fontId="10" fillId="16" borderId="11" xfId="5" applyFont="1" applyFill="1" applyBorder="1" applyAlignment="1">
      <alignment horizontal="center" vertical="center" wrapText="1"/>
    </xf>
    <xf numFmtId="0" fontId="18" fillId="0" borderId="0" xfId="5" applyFont="1" applyAlignment="1">
      <alignment vertical="center"/>
    </xf>
    <xf numFmtId="0" fontId="17" fillId="0" borderId="0" xfId="5" applyAlignment="1">
      <alignment vertical="center"/>
    </xf>
    <xf numFmtId="0" fontId="8" fillId="6" borderId="2" xfId="5" applyFont="1" applyFill="1" applyBorder="1" applyAlignment="1">
      <alignment horizontal="center" vertical="center" wrapText="1"/>
    </xf>
    <xf numFmtId="0" fontId="8" fillId="6" borderId="11" xfId="5" applyFont="1" applyFill="1" applyBorder="1" applyAlignment="1">
      <alignment vertical="center" wrapText="1"/>
    </xf>
    <xf numFmtId="44" fontId="8" fillId="6" borderId="2" xfId="5" applyNumberFormat="1" applyFont="1" applyFill="1" applyBorder="1" applyAlignment="1">
      <alignment horizontal="center" vertical="center" wrapText="1"/>
    </xf>
    <xf numFmtId="0" fontId="8" fillId="16" borderId="24" xfId="5" applyFont="1" applyFill="1" applyBorder="1" applyAlignment="1">
      <alignment vertical="center" wrapText="1"/>
    </xf>
    <xf numFmtId="0" fontId="8" fillId="16" borderId="13" xfId="5" applyFont="1" applyFill="1" applyBorder="1" applyAlignment="1">
      <alignment vertical="center" wrapText="1"/>
    </xf>
    <xf numFmtId="0" fontId="8" fillId="16" borderId="2" xfId="5" applyFont="1" applyFill="1" applyBorder="1" applyAlignment="1">
      <alignment vertical="center" wrapText="1"/>
    </xf>
    <xf numFmtId="44" fontId="10" fillId="16" borderId="2" xfId="5" applyNumberFormat="1" applyFont="1" applyFill="1" applyBorder="1" applyAlignment="1">
      <alignment horizontal="center" vertical="center" wrapText="1"/>
    </xf>
    <xf numFmtId="44" fontId="10" fillId="16" borderId="2" xfId="5" applyNumberFormat="1" applyFont="1" applyFill="1" applyBorder="1" applyAlignment="1">
      <alignment horizontal="center" vertical="center"/>
    </xf>
    <xf numFmtId="0" fontId="8" fillId="0" borderId="0" xfId="5" applyFont="1" applyFill="1"/>
    <xf numFmtId="0" fontId="8" fillId="0" borderId="0" xfId="5" applyFont="1" applyFill="1" applyAlignment="1">
      <alignment horizontal="center" vertical="center"/>
    </xf>
    <xf numFmtId="44" fontId="8" fillId="0" borderId="0" xfId="5" applyNumberFormat="1" applyFont="1" applyAlignment="1">
      <alignment horizontal="center" vertical="center"/>
    </xf>
    <xf numFmtId="0" fontId="10" fillId="14" borderId="2" xfId="5" applyFont="1" applyFill="1" applyBorder="1" applyAlignment="1">
      <alignment horizontal="center" vertical="center" wrapText="1"/>
    </xf>
    <xf numFmtId="44" fontId="8" fillId="14" borderId="2" xfId="5" applyNumberFormat="1" applyFont="1" applyFill="1" applyBorder="1" applyAlignment="1">
      <alignment horizontal="center" vertical="center" wrapText="1"/>
    </xf>
    <xf numFmtId="1" fontId="8" fillId="14" borderId="2" xfId="5" applyNumberFormat="1" applyFont="1" applyFill="1" applyBorder="1" applyAlignment="1">
      <alignment horizontal="center" vertical="center"/>
    </xf>
    <xf numFmtId="44" fontId="8" fillId="14" borderId="2" xfId="5" applyNumberFormat="1" applyFont="1" applyFill="1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0" fontId="28" fillId="0" borderId="0" xfId="0" applyFont="1"/>
    <xf numFmtId="44" fontId="30" fillId="0" borderId="0" xfId="3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0" fontId="32" fillId="0" borderId="0" xfId="0" applyNumberFormat="1" applyFont="1" applyAlignment="1">
      <alignment horizontal="center" vertical="center" wrapText="1"/>
    </xf>
    <xf numFmtId="40" fontId="32" fillId="0" borderId="0" xfId="0" applyNumberFormat="1" applyFont="1" applyAlignment="1">
      <alignment horizontal="center" vertical="center" wrapText="1"/>
    </xf>
    <xf numFmtId="0" fontId="33" fillId="0" borderId="0" xfId="0" applyFont="1"/>
    <xf numFmtId="2" fontId="32" fillId="0" borderId="0" xfId="0" applyNumberFormat="1" applyFont="1" applyAlignment="1">
      <alignment horizontal="center" vertical="center" wrapText="1"/>
    </xf>
    <xf numFmtId="0" fontId="49" fillId="0" borderId="0" xfId="5" applyFont="1" applyAlignment="1">
      <alignment horizontal="center" vertical="center"/>
    </xf>
    <xf numFmtId="44" fontId="49" fillId="0" borderId="0" xfId="5" applyNumberFormat="1" applyFont="1" applyAlignment="1">
      <alignment horizontal="center" vertical="center"/>
    </xf>
    <xf numFmtId="0" fontId="49" fillId="0" borderId="0" xfId="5" applyFont="1" applyAlignment="1">
      <alignment vertical="center"/>
    </xf>
    <xf numFmtId="0" fontId="49" fillId="0" borderId="2" xfId="5" applyFont="1" applyBorder="1" applyAlignment="1" applyProtection="1">
      <alignment horizontal="center" vertical="center"/>
      <protection locked="0"/>
    </xf>
    <xf numFmtId="1" fontId="49" fillId="0" borderId="2" xfId="5" applyNumberFormat="1" applyFont="1" applyBorder="1" applyAlignment="1" applyProtection="1">
      <alignment horizontal="center" vertical="center"/>
      <protection locked="0"/>
    </xf>
    <xf numFmtId="0" fontId="50" fillId="13" borderId="45" xfId="5" applyFont="1" applyFill="1" applyBorder="1" applyAlignment="1" applyProtection="1">
      <alignment horizontal="center" vertical="center" wrapText="1"/>
      <protection hidden="1"/>
    </xf>
    <xf numFmtId="44" fontId="49" fillId="0" borderId="0" xfId="5" applyNumberFormat="1" applyFont="1" applyAlignment="1" applyProtection="1">
      <alignment horizontal="center" vertical="center"/>
      <protection hidden="1"/>
    </xf>
    <xf numFmtId="0" fontId="49" fillId="0" borderId="0" xfId="5" applyFont="1" applyAlignment="1" applyProtection="1">
      <alignment horizontal="center" vertical="center"/>
      <protection hidden="1"/>
    </xf>
    <xf numFmtId="0" fontId="49" fillId="0" borderId="0" xfId="5" applyFont="1" applyAlignment="1" applyProtection="1">
      <alignment vertical="center"/>
      <protection hidden="1"/>
    </xf>
    <xf numFmtId="0" fontId="50" fillId="9" borderId="2" xfId="5" applyFont="1" applyFill="1" applyBorder="1" applyAlignment="1" applyProtection="1">
      <alignment horizontal="center" vertical="center"/>
      <protection hidden="1"/>
    </xf>
    <xf numFmtId="0" fontId="50" fillId="9" borderId="2" xfId="5" applyFont="1" applyFill="1" applyBorder="1" applyAlignment="1" applyProtection="1">
      <alignment horizontal="center" vertical="center" wrapText="1"/>
      <protection hidden="1"/>
    </xf>
    <xf numFmtId="0" fontId="50" fillId="9" borderId="10" xfId="5" applyFont="1" applyFill="1" applyBorder="1" applyAlignment="1" applyProtection="1">
      <alignment horizontal="center" vertical="center"/>
      <protection hidden="1"/>
    </xf>
    <xf numFmtId="0" fontId="50" fillId="5" borderId="53" xfId="5" applyFont="1" applyFill="1" applyBorder="1" applyAlignment="1" applyProtection="1">
      <alignment horizontal="center" vertical="center" wrapText="1"/>
      <protection hidden="1"/>
    </xf>
    <xf numFmtId="44" fontId="50" fillId="5" borderId="54" xfId="5" applyNumberFormat="1" applyFont="1" applyFill="1" applyBorder="1" applyAlignment="1" applyProtection="1">
      <alignment horizontal="center" vertical="center"/>
      <protection hidden="1"/>
    </xf>
    <xf numFmtId="0" fontId="49" fillId="0" borderId="2" xfId="5" applyFont="1" applyBorder="1" applyAlignment="1" applyProtection="1">
      <alignment horizontal="center" vertical="center"/>
      <protection hidden="1"/>
    </xf>
    <xf numFmtId="0" fontId="49" fillId="0" borderId="2" xfId="5" applyFont="1" applyBorder="1" applyAlignment="1" applyProtection="1">
      <alignment horizontal="left" vertical="center"/>
      <protection hidden="1"/>
    </xf>
    <xf numFmtId="44" fontId="49" fillId="0" borderId="2" xfId="5" applyNumberFormat="1" applyFont="1" applyBorder="1" applyAlignment="1" applyProtection="1">
      <alignment horizontal="center" vertical="center"/>
      <protection hidden="1"/>
    </xf>
    <xf numFmtId="44" fontId="50" fillId="0" borderId="2" xfId="5" applyNumberFormat="1" applyFont="1" applyBorder="1" applyAlignment="1" applyProtection="1">
      <alignment horizontal="center" vertical="center"/>
      <protection hidden="1"/>
    </xf>
    <xf numFmtId="169" fontId="50" fillId="16" borderId="2" xfId="5" applyNumberFormat="1" applyFont="1" applyFill="1" applyBorder="1" applyAlignment="1" applyProtection="1">
      <alignment horizontal="center" vertical="center"/>
      <protection hidden="1"/>
    </xf>
    <xf numFmtId="10" fontId="50" fillId="0" borderId="13" xfId="5" applyNumberFormat="1" applyFont="1" applyBorder="1" applyAlignment="1" applyProtection="1">
      <alignment horizontal="center" vertical="center"/>
      <protection hidden="1"/>
    </xf>
    <xf numFmtId="169" fontId="50" fillId="16" borderId="19" xfId="5" applyNumberFormat="1" applyFont="1" applyFill="1" applyBorder="1" applyAlignment="1" applyProtection="1">
      <alignment horizontal="center" vertical="center"/>
      <protection hidden="1"/>
    </xf>
    <xf numFmtId="44" fontId="50" fillId="0" borderId="10" xfId="5" applyNumberFormat="1" applyFont="1" applyBorder="1" applyAlignment="1" applyProtection="1">
      <alignment horizontal="center" vertical="center"/>
      <protection hidden="1"/>
    </xf>
    <xf numFmtId="0" fontId="49" fillId="0" borderId="2" xfId="5" applyFont="1" applyFill="1" applyBorder="1" applyAlignment="1" applyProtection="1">
      <alignment horizontal="center" vertical="center"/>
      <protection hidden="1"/>
    </xf>
    <xf numFmtId="0" fontId="49" fillId="0" borderId="2" xfId="5" applyFont="1" applyFill="1" applyBorder="1" applyAlignment="1" applyProtection="1">
      <alignment horizontal="left" vertical="center"/>
      <protection hidden="1"/>
    </xf>
    <xf numFmtId="1" fontId="49" fillId="0" borderId="2" xfId="5" applyNumberFormat="1" applyFont="1" applyFill="1" applyBorder="1" applyAlignment="1" applyProtection="1">
      <alignment horizontal="center" vertical="center"/>
      <protection hidden="1"/>
    </xf>
    <xf numFmtId="44" fontId="49" fillId="0" borderId="2" xfId="5" applyNumberFormat="1" applyFont="1" applyFill="1" applyBorder="1" applyAlignment="1" applyProtection="1">
      <alignment horizontal="center" vertical="center"/>
      <protection hidden="1"/>
    </xf>
    <xf numFmtId="44" fontId="49" fillId="0" borderId="10" xfId="5" applyNumberFormat="1" applyFont="1" applyBorder="1" applyAlignment="1" applyProtection="1">
      <alignment horizontal="center" vertical="center"/>
      <protection hidden="1"/>
    </xf>
    <xf numFmtId="169" fontId="50" fillId="0" borderId="55" xfId="5" applyNumberFormat="1" applyFont="1" applyBorder="1" applyAlignment="1" applyProtection="1">
      <alignment horizontal="center" vertical="center"/>
      <protection hidden="1"/>
    </xf>
    <xf numFmtId="169" fontId="50" fillId="0" borderId="52" xfId="5" applyNumberFormat="1" applyFont="1" applyBorder="1" applyAlignment="1" applyProtection="1">
      <alignment horizontal="center" vertical="center"/>
      <protection hidden="1"/>
    </xf>
    <xf numFmtId="0" fontId="50" fillId="5" borderId="53" xfId="5" applyFont="1" applyFill="1" applyBorder="1" applyAlignment="1" applyProtection="1">
      <alignment horizontal="center" vertical="center"/>
      <protection hidden="1"/>
    </xf>
    <xf numFmtId="44" fontId="50" fillId="5" borderId="34" xfId="5" applyNumberFormat="1" applyFont="1" applyFill="1" applyBorder="1" applyAlignment="1" applyProtection="1">
      <alignment vertical="center"/>
      <protection hidden="1"/>
    </xf>
    <xf numFmtId="169" fontId="50" fillId="19" borderId="53" xfId="5" applyNumberFormat="1" applyFont="1" applyFill="1" applyBorder="1" applyAlignment="1" applyProtection="1">
      <alignment horizontal="center" vertical="center"/>
      <protection hidden="1"/>
    </xf>
    <xf numFmtId="169" fontId="50" fillId="19" borderId="60" xfId="5" applyNumberFormat="1" applyFont="1" applyFill="1" applyBorder="1" applyAlignment="1" applyProtection="1">
      <alignment horizontal="center" vertical="center"/>
      <protection hidden="1"/>
    </xf>
    <xf numFmtId="10" fontId="50" fillId="13" borderId="13" xfId="5" applyNumberFormat="1" applyFont="1" applyFill="1" applyBorder="1" applyAlignment="1" applyProtection="1">
      <alignment horizontal="center" vertical="center"/>
      <protection hidden="1"/>
    </xf>
    <xf numFmtId="44" fontId="49" fillId="0" borderId="52" xfId="5" applyNumberFormat="1" applyFont="1" applyFill="1" applyBorder="1" applyAlignment="1" applyProtection="1">
      <alignment horizontal="center" vertical="center"/>
      <protection hidden="1"/>
    </xf>
    <xf numFmtId="44" fontId="50" fillId="0" borderId="52" xfId="5" applyNumberFormat="1" applyFont="1" applyBorder="1" applyAlignment="1" applyProtection="1">
      <alignment horizontal="center" vertical="center"/>
      <protection hidden="1"/>
    </xf>
    <xf numFmtId="0" fontId="50" fillId="5" borderId="2" xfId="5" applyFont="1" applyFill="1" applyBorder="1" applyAlignment="1" applyProtection="1">
      <alignment horizontal="center" vertical="center"/>
      <protection hidden="1"/>
    </xf>
    <xf numFmtId="0" fontId="50" fillId="5" borderId="45" xfId="5" applyFont="1" applyFill="1" applyBorder="1" applyAlignment="1" applyProtection="1">
      <alignment vertical="center" wrapText="1"/>
      <protection hidden="1"/>
    </xf>
    <xf numFmtId="44" fontId="50" fillId="5" borderId="2" xfId="5" applyNumberFormat="1" applyFont="1" applyFill="1" applyBorder="1" applyAlignment="1" applyProtection="1">
      <alignment horizontal="center" vertical="center"/>
      <protection hidden="1"/>
    </xf>
    <xf numFmtId="44" fontId="50" fillId="0" borderId="53" xfId="5" applyNumberFormat="1" applyFont="1" applyBorder="1" applyAlignment="1" applyProtection="1">
      <alignment horizontal="center" vertical="center"/>
      <protection hidden="1"/>
    </xf>
    <xf numFmtId="0" fontId="50" fillId="0" borderId="54" xfId="5" applyFont="1" applyBorder="1" applyAlignment="1" applyProtection="1">
      <alignment horizontal="center" vertical="center"/>
      <protection hidden="1"/>
    </xf>
    <xf numFmtId="44" fontId="49" fillId="0" borderId="13" xfId="5" applyNumberFormat="1" applyFont="1" applyBorder="1" applyAlignment="1" applyProtection="1">
      <alignment horizontal="center" vertical="center"/>
      <protection hidden="1"/>
    </xf>
    <xf numFmtId="0" fontId="49" fillId="0" borderId="10" xfId="5" applyFont="1" applyBorder="1" applyAlignment="1" applyProtection="1">
      <alignment horizontal="center" vertical="center"/>
      <protection hidden="1"/>
    </xf>
    <xf numFmtId="0" fontId="49" fillId="5" borderId="2" xfId="5" applyFont="1" applyFill="1" applyBorder="1" applyAlignment="1" applyProtection="1">
      <alignment horizontal="center" vertical="center"/>
      <protection hidden="1"/>
    </xf>
    <xf numFmtId="0" fontId="49" fillId="5" borderId="11" xfId="5" applyFont="1" applyFill="1" applyBorder="1" applyAlignment="1" applyProtection="1">
      <alignment horizontal="center" vertical="center"/>
      <protection hidden="1"/>
    </xf>
    <xf numFmtId="10" fontId="50" fillId="5" borderId="54" xfId="5" applyNumberFormat="1" applyFont="1" applyFill="1" applyBorder="1" applyAlignment="1" applyProtection="1">
      <alignment horizontal="center" vertical="center"/>
      <protection hidden="1"/>
    </xf>
    <xf numFmtId="44" fontId="49" fillId="5" borderId="47" xfId="5" applyNumberFormat="1" applyFont="1" applyFill="1" applyBorder="1" applyAlignment="1" applyProtection="1">
      <alignment horizontal="center" vertical="center"/>
      <protection hidden="1"/>
    </xf>
    <xf numFmtId="0" fontId="49" fillId="5" borderId="16" xfId="5" applyFont="1" applyFill="1" applyBorder="1" applyAlignment="1" applyProtection="1">
      <alignment horizontal="center" vertical="center"/>
      <protection hidden="1"/>
    </xf>
    <xf numFmtId="44" fontId="49" fillId="5" borderId="2" xfId="5" applyNumberFormat="1" applyFont="1" applyFill="1" applyBorder="1" applyAlignment="1" applyProtection="1">
      <alignment horizontal="center" vertical="center"/>
      <protection hidden="1"/>
    </xf>
    <xf numFmtId="0" fontId="49" fillId="0" borderId="16" xfId="5" applyFont="1" applyBorder="1" applyAlignment="1" applyProtection="1">
      <alignment horizontal="center" vertical="center"/>
      <protection hidden="1"/>
    </xf>
    <xf numFmtId="0" fontId="50" fillId="3" borderId="53" xfId="5" applyFont="1" applyFill="1" applyBorder="1" applyAlignment="1" applyProtection="1">
      <alignment horizontal="center" vertical="center" wrapText="1"/>
      <protection hidden="1"/>
    </xf>
    <xf numFmtId="44" fontId="50" fillId="3" borderId="54" xfId="5" applyNumberFormat="1" applyFont="1" applyFill="1" applyBorder="1" applyAlignment="1" applyProtection="1">
      <alignment horizontal="center" vertical="center"/>
      <protection hidden="1"/>
    </xf>
    <xf numFmtId="169" fontId="50" fillId="13" borderId="13" xfId="5" applyNumberFormat="1" applyFont="1" applyFill="1" applyBorder="1" applyAlignment="1" applyProtection="1">
      <alignment horizontal="center" vertical="center"/>
      <protection hidden="1"/>
    </xf>
    <xf numFmtId="44" fontId="50" fillId="3" borderId="16" xfId="5" applyNumberFormat="1" applyFont="1" applyFill="1" applyBorder="1" applyAlignment="1" applyProtection="1">
      <alignment horizontal="center" vertical="center"/>
      <protection hidden="1"/>
    </xf>
    <xf numFmtId="169" fontId="50" fillId="13" borderId="2" xfId="5" applyNumberFormat="1" applyFont="1" applyFill="1" applyBorder="1" applyAlignment="1" applyProtection="1">
      <alignment horizontal="center" vertical="center"/>
      <protection hidden="1"/>
    </xf>
    <xf numFmtId="10" fontId="50" fillId="13" borderId="13" xfId="5" applyNumberFormat="1" applyFont="1" applyFill="1" applyBorder="1" applyAlignment="1" applyProtection="1">
      <alignment horizontal="center" vertical="center" wrapText="1"/>
      <protection hidden="1"/>
    </xf>
    <xf numFmtId="43" fontId="49" fillId="0" borderId="0" xfId="5" applyNumberFormat="1" applyFont="1" applyAlignment="1" applyProtection="1">
      <alignment horizontal="center" vertical="center"/>
      <protection hidden="1"/>
    </xf>
    <xf numFmtId="0" fontId="50" fillId="13" borderId="2" xfId="5" applyFont="1" applyFill="1" applyBorder="1" applyAlignment="1" applyProtection="1">
      <alignment horizontal="center" vertical="center"/>
      <protection hidden="1"/>
    </xf>
    <xf numFmtId="10" fontId="50" fillId="13" borderId="2" xfId="5" applyNumberFormat="1" applyFont="1" applyFill="1" applyBorder="1" applyAlignment="1" applyProtection="1">
      <alignment horizontal="center" vertical="center"/>
      <protection hidden="1"/>
    </xf>
    <xf numFmtId="164" fontId="49" fillId="0" borderId="2" xfId="5" applyNumberFormat="1" applyFont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10" fontId="32" fillId="0" borderId="0" xfId="0" applyNumberFormat="1" applyFont="1" applyAlignment="1" applyProtection="1">
      <alignment horizontal="center" vertical="center" wrapText="1"/>
      <protection hidden="1"/>
    </xf>
    <xf numFmtId="40" fontId="32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3" fillId="0" borderId="0" xfId="0" applyFont="1" applyProtection="1">
      <protection hidden="1"/>
    </xf>
    <xf numFmtId="0" fontId="24" fillId="0" borderId="0" xfId="0" applyFont="1" applyAlignment="1" applyProtection="1">
      <alignment wrapText="1"/>
      <protection hidden="1"/>
    </xf>
    <xf numFmtId="0" fontId="34" fillId="16" borderId="38" xfId="0" applyFont="1" applyFill="1" applyBorder="1" applyAlignment="1" applyProtection="1">
      <alignment horizontal="center" vertical="center" wrapText="1"/>
      <protection hidden="1"/>
    </xf>
    <xf numFmtId="0" fontId="34" fillId="16" borderId="28" xfId="0" applyFont="1" applyFill="1" applyBorder="1" applyAlignment="1" applyProtection="1">
      <alignment horizontal="center" vertical="center" wrapText="1"/>
      <protection hidden="1"/>
    </xf>
    <xf numFmtId="10" fontId="34" fillId="16" borderId="28" xfId="0" applyNumberFormat="1" applyFont="1" applyFill="1" applyBorder="1" applyAlignment="1" applyProtection="1">
      <alignment horizontal="center" vertical="center" wrapText="1"/>
      <protection hidden="1"/>
    </xf>
    <xf numFmtId="40" fontId="34" fillId="16" borderId="39" xfId="0" applyNumberFormat="1" applyFont="1" applyFill="1" applyBorder="1" applyAlignment="1" applyProtection="1">
      <alignment horizontal="center" vertical="center" wrapText="1"/>
      <protection hidden="1"/>
    </xf>
    <xf numFmtId="0" fontId="34" fillId="12" borderId="38" xfId="0" applyFont="1" applyFill="1" applyBorder="1" applyAlignment="1" applyProtection="1">
      <alignment vertical="center" wrapText="1"/>
      <protection hidden="1"/>
    </xf>
    <xf numFmtId="0" fontId="34" fillId="12" borderId="28" xfId="0" applyFont="1" applyFill="1" applyBorder="1" applyAlignment="1" applyProtection="1">
      <alignment vertical="center" wrapText="1"/>
      <protection hidden="1"/>
    </xf>
    <xf numFmtId="0" fontId="32" fillId="12" borderId="28" xfId="0" applyFont="1" applyFill="1" applyBorder="1" applyAlignment="1" applyProtection="1">
      <alignment vertical="center" wrapText="1"/>
      <protection hidden="1"/>
    </xf>
    <xf numFmtId="0" fontId="32" fillId="12" borderId="39" xfId="0" applyFont="1" applyFill="1" applyBorder="1" applyAlignment="1" applyProtection="1">
      <alignment vertical="center" wrapText="1"/>
      <protection hidden="1"/>
    </xf>
    <xf numFmtId="0" fontId="32" fillId="0" borderId="38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horizontal="left" vertical="center" wrapText="1"/>
      <protection hidden="1"/>
    </xf>
    <xf numFmtId="0" fontId="35" fillId="0" borderId="28" xfId="0" applyFont="1" applyBorder="1" applyAlignment="1" applyProtection="1">
      <alignment horizontal="left" vertical="center" wrapText="1"/>
      <protection hidden="1"/>
    </xf>
    <xf numFmtId="0" fontId="32" fillId="16" borderId="38" xfId="0" applyFont="1" applyFill="1" applyBorder="1" applyAlignment="1" applyProtection="1">
      <alignment horizontal="center" vertical="center" wrapText="1"/>
      <protection hidden="1"/>
    </xf>
    <xf numFmtId="0" fontId="34" fillId="16" borderId="27" xfId="0" applyFont="1" applyFill="1" applyBorder="1" applyAlignment="1" applyProtection="1">
      <alignment vertical="center" wrapText="1"/>
      <protection hidden="1"/>
    </xf>
    <xf numFmtId="0" fontId="32" fillId="22" borderId="38" xfId="0" applyFont="1" applyFill="1" applyBorder="1" applyAlignment="1" applyProtection="1">
      <alignment horizontal="center" vertical="center" wrapText="1"/>
      <protection hidden="1"/>
    </xf>
    <xf numFmtId="0" fontId="32" fillId="22" borderId="28" xfId="0" applyFont="1" applyFill="1" applyBorder="1" applyAlignment="1" applyProtection="1">
      <alignment horizontal="left" vertical="center" wrapText="1"/>
      <protection hidden="1"/>
    </xf>
    <xf numFmtId="10" fontId="32" fillId="22" borderId="28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34" fillId="16" borderId="38" xfId="0" applyFont="1" applyFill="1" applyBorder="1" applyAlignment="1" applyProtection="1">
      <alignment vertical="center" wrapText="1"/>
      <protection hidden="1"/>
    </xf>
    <xf numFmtId="10" fontId="32" fillId="16" borderId="28" xfId="0" applyNumberFormat="1" applyFont="1" applyFill="1" applyBorder="1" applyAlignment="1" applyProtection="1">
      <alignment horizontal="center" vertical="center" wrapText="1"/>
      <protection hidden="1"/>
    </xf>
    <xf numFmtId="0" fontId="34" fillId="12" borderId="27" xfId="0" applyFont="1" applyFill="1" applyBorder="1" applyAlignment="1" applyProtection="1">
      <alignment vertical="center" wrapText="1"/>
      <protection hidden="1"/>
    </xf>
    <xf numFmtId="0" fontId="37" fillId="12" borderId="28" xfId="0" applyFont="1" applyFill="1" applyBorder="1" applyAlignment="1" applyProtection="1">
      <alignment vertical="center" wrapText="1"/>
      <protection hidden="1"/>
    </xf>
    <xf numFmtId="0" fontId="33" fillId="27" borderId="0" xfId="0" applyFont="1" applyFill="1" applyBorder="1" applyProtection="1">
      <protection hidden="1"/>
    </xf>
    <xf numFmtId="0" fontId="0" fillId="27" borderId="0" xfId="0" applyFill="1" applyBorder="1" applyProtection="1">
      <protection hidden="1"/>
    </xf>
    <xf numFmtId="0" fontId="32" fillId="16" borderId="38" xfId="0" applyFont="1" applyFill="1" applyBorder="1" applyAlignment="1" applyProtection="1">
      <alignment vertical="center" wrapText="1"/>
      <protection hidden="1"/>
    </xf>
    <xf numFmtId="0" fontId="37" fillId="16" borderId="28" xfId="0" applyFont="1" applyFill="1" applyBorder="1" applyAlignment="1" applyProtection="1">
      <alignment vertical="center" wrapText="1"/>
      <protection hidden="1"/>
    </xf>
    <xf numFmtId="0" fontId="40" fillId="27" borderId="0" xfId="0" applyFont="1" applyFill="1" applyBorder="1" applyAlignment="1" applyProtection="1">
      <alignment horizontal="center" vertical="center"/>
      <protection hidden="1"/>
    </xf>
    <xf numFmtId="0" fontId="10" fillId="27" borderId="0" xfId="6" applyFont="1" applyFill="1" applyBorder="1" applyAlignment="1" applyProtection="1">
      <alignment horizontal="center" vertical="center"/>
      <protection hidden="1"/>
    </xf>
    <xf numFmtId="49" fontId="3" fillId="27" borderId="0" xfId="6" applyNumberFormat="1" applyFont="1" applyFill="1" applyBorder="1" applyAlignment="1" applyProtection="1">
      <alignment horizontal="center" vertical="center"/>
      <protection hidden="1"/>
    </xf>
    <xf numFmtId="10" fontId="3" fillId="27" borderId="0" xfId="6" applyNumberFormat="1" applyFont="1" applyFill="1" applyBorder="1" applyAlignment="1" applyProtection="1">
      <alignment horizontal="center" vertical="center"/>
      <protection hidden="1"/>
    </xf>
    <xf numFmtId="0" fontId="3" fillId="27" borderId="0" xfId="6" applyFont="1" applyFill="1" applyBorder="1" applyAlignment="1" applyProtection="1">
      <alignment horizontal="center" vertical="center"/>
      <protection hidden="1"/>
    </xf>
    <xf numFmtId="0" fontId="34" fillId="16" borderId="27" xfId="0" applyFont="1" applyFill="1" applyBorder="1" applyAlignment="1" applyProtection="1">
      <alignment horizontal="justify" vertical="center" wrapText="1"/>
      <protection hidden="1"/>
    </xf>
    <xf numFmtId="2" fontId="33" fillId="27" borderId="0" xfId="0" applyNumberFormat="1" applyFont="1" applyFill="1" applyBorder="1" applyProtection="1">
      <protection hidden="1"/>
    </xf>
    <xf numFmtId="0" fontId="44" fillId="22" borderId="28" xfId="0" applyFont="1" applyFill="1" applyBorder="1" applyAlignment="1" applyProtection="1">
      <alignment horizontal="left" vertical="center" wrapText="1"/>
      <protection hidden="1"/>
    </xf>
    <xf numFmtId="2" fontId="33" fillId="0" borderId="0" xfId="0" applyNumberFormat="1" applyFont="1" applyProtection="1">
      <protection hidden="1"/>
    </xf>
    <xf numFmtId="10" fontId="3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0" applyFont="1" applyFill="1" applyAlignment="1" applyProtection="1">
      <alignment horizontal="center" vertical="center" wrapText="1"/>
      <protection hidden="1"/>
    </xf>
    <xf numFmtId="0" fontId="44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2" fillId="16" borderId="27" xfId="0" applyFont="1" applyFill="1" applyBorder="1" applyAlignment="1" applyProtection="1">
      <alignment vertical="center" wrapText="1"/>
      <protection hidden="1"/>
    </xf>
    <xf numFmtId="0" fontId="32" fillId="0" borderId="28" xfId="6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32" fillId="22" borderId="28" xfId="6" applyFont="1" applyFill="1" applyBorder="1" applyAlignment="1" applyProtection="1">
      <alignment horizontal="left" vertical="center" wrapText="1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10" fontId="34" fillId="16" borderId="42" xfId="0" applyNumberFormat="1" applyFont="1" applyFill="1" applyBorder="1" applyAlignment="1" applyProtection="1">
      <alignment horizontal="center" vertical="center" wrapText="1"/>
      <protection hidden="1"/>
    </xf>
    <xf numFmtId="43" fontId="33" fillId="0" borderId="2" xfId="0" applyNumberFormat="1" applyFont="1" applyBorder="1" applyAlignment="1" applyProtection="1">
      <alignment horizontal="center" vertical="center"/>
      <protection hidden="1"/>
    </xf>
    <xf numFmtId="0" fontId="51" fillId="21" borderId="16" xfId="8" applyFont="1" applyFill="1" applyBorder="1" applyAlignment="1" applyProtection="1">
      <alignment horizontal="center" vertical="center" wrapText="1"/>
      <protection hidden="1"/>
    </xf>
    <xf numFmtId="43" fontId="33" fillId="0" borderId="0" xfId="0" applyNumberFormat="1" applyFont="1" applyBorder="1" applyAlignment="1" applyProtection="1">
      <alignment horizontal="center" vertical="center"/>
      <protection hidden="1"/>
    </xf>
    <xf numFmtId="0" fontId="51" fillId="0" borderId="16" xfId="8" applyFont="1" applyFill="1" applyBorder="1" applyAlignment="1" applyProtection="1">
      <alignment horizontal="center" vertical="center" wrapText="1"/>
      <protection hidden="1"/>
    </xf>
    <xf numFmtId="0" fontId="51" fillId="0" borderId="2" xfId="8" applyFont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10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0" fontId="34" fillId="0" borderId="0" xfId="0" applyNumberFormat="1" applyFont="1" applyFill="1" applyBorder="1" applyAlignment="1" applyProtection="1">
      <alignment horizontal="center" vertical="center" wrapText="1"/>
      <protection hidden="1"/>
    </xf>
    <xf numFmtId="43" fontId="33" fillId="0" borderId="0" xfId="0" applyNumberFormat="1" applyFont="1" applyProtection="1">
      <protection hidden="1"/>
    </xf>
    <xf numFmtId="43" fontId="33" fillId="0" borderId="2" xfId="0" applyNumberFormat="1" applyFont="1" applyBorder="1" applyProtection="1">
      <protection hidden="1"/>
    </xf>
    <xf numFmtId="10" fontId="43" fillId="16" borderId="2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8" xfId="0" applyFont="1" applyFill="1" applyBorder="1" applyAlignment="1" applyProtection="1">
      <alignment horizontal="center" vertical="center" wrapText="1"/>
      <protection hidden="1"/>
    </xf>
    <xf numFmtId="0" fontId="32" fillId="0" borderId="28" xfId="0" applyFont="1" applyFill="1" applyBorder="1" applyAlignment="1" applyProtection="1">
      <alignment horizontal="left" vertical="center" wrapText="1"/>
      <protection hidden="1"/>
    </xf>
    <xf numFmtId="0" fontId="32" fillId="16" borderId="38" xfId="0" applyFont="1" applyFill="1" applyBorder="1" applyAlignment="1" applyProtection="1">
      <alignment horizontal="center" vertical="center" wrapText="1"/>
      <protection hidden="1"/>
    </xf>
    <xf numFmtId="0" fontId="37" fillId="16" borderId="28" xfId="0" applyFont="1" applyFill="1" applyBorder="1" applyAlignment="1" applyProtection="1">
      <alignment vertical="center" wrapText="1"/>
      <protection hidden="1"/>
    </xf>
    <xf numFmtId="40" fontId="0" fillId="0" borderId="0" xfId="0" applyNumberFormat="1" applyProtection="1">
      <protection hidden="1"/>
    </xf>
    <xf numFmtId="43" fontId="36" fillId="0" borderId="0" xfId="0" applyNumberFormat="1" applyFont="1" applyFill="1" applyProtection="1">
      <protection hidden="1"/>
    </xf>
    <xf numFmtId="0" fontId="32" fillId="0" borderId="38" xfId="0" applyFont="1" applyBorder="1" applyAlignment="1" applyProtection="1">
      <alignment horizontal="center" vertical="center" wrapText="1"/>
      <protection hidden="1"/>
    </xf>
    <xf numFmtId="43" fontId="33" fillId="0" borderId="0" xfId="0" applyNumberFormat="1" applyFont="1" applyFill="1" applyProtection="1">
      <protection hidden="1"/>
    </xf>
    <xf numFmtId="0" fontId="34" fillId="16" borderId="38" xfId="0" applyFont="1" applyFill="1" applyBorder="1" applyAlignment="1" applyProtection="1">
      <alignment horizontal="center" vertical="center" wrapText="1"/>
      <protection hidden="1"/>
    </xf>
    <xf numFmtId="10" fontId="34" fillId="13" borderId="28" xfId="0" applyNumberFormat="1" applyFont="1" applyFill="1" applyBorder="1" applyAlignment="1" applyProtection="1">
      <alignment horizontal="center" vertical="center" wrapText="1"/>
      <protection hidden="1"/>
    </xf>
    <xf numFmtId="43" fontId="46" fillId="0" borderId="0" xfId="0" applyNumberFormat="1" applyFont="1" applyProtection="1">
      <protection hidden="1"/>
    </xf>
    <xf numFmtId="43" fontId="32" fillId="0" borderId="0" xfId="0" applyNumberFormat="1" applyFont="1" applyProtection="1">
      <protection hidden="1"/>
    </xf>
    <xf numFmtId="43" fontId="32" fillId="0" borderId="0" xfId="0" applyNumberFormat="1" applyFont="1" applyAlignment="1" applyProtection="1">
      <alignment horizontal="center" vertical="center" wrapText="1"/>
      <protection hidden="1"/>
    </xf>
    <xf numFmtId="2" fontId="32" fillId="0" borderId="0" xfId="0" applyNumberFormat="1" applyFont="1" applyAlignment="1" applyProtection="1">
      <alignment horizontal="center" vertical="center" wrapText="1"/>
      <protection hidden="1"/>
    </xf>
    <xf numFmtId="10" fontId="32" fillId="22" borderId="28" xfId="0" applyNumberFormat="1" applyFont="1" applyFill="1" applyBorder="1" applyAlignment="1" applyProtection="1">
      <alignment horizontal="center" vertical="center" wrapText="1"/>
      <protection locked="0"/>
    </xf>
    <xf numFmtId="10" fontId="32" fillId="0" borderId="28" xfId="0" applyNumberFormat="1" applyFont="1" applyBorder="1" applyAlignment="1" applyProtection="1">
      <alignment horizontal="center" vertical="center" wrapText="1"/>
      <protection locked="0"/>
    </xf>
    <xf numFmtId="10" fontId="35" fillId="22" borderId="28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" applyFont="1" applyFill="1" applyBorder="1" applyAlignment="1" applyProtection="1">
      <alignment horizontal="center" vertical="center"/>
      <protection hidden="1"/>
    </xf>
    <xf numFmtId="0" fontId="26" fillId="0" borderId="0" xfId="6" applyFont="1" applyAlignment="1" applyProtection="1">
      <alignment horizontal="center" vertical="center"/>
      <protection hidden="1"/>
    </xf>
    <xf numFmtId="0" fontId="48" fillId="0" borderId="0" xfId="6" applyFont="1" applyAlignment="1" applyProtection="1">
      <alignment horizontal="center" vertical="center"/>
      <protection hidden="1"/>
    </xf>
    <xf numFmtId="0" fontId="47" fillId="0" borderId="13" xfId="6" applyFont="1" applyBorder="1" applyAlignment="1" applyProtection="1">
      <alignment horizontal="center" vertical="center"/>
      <protection hidden="1"/>
    </xf>
    <xf numFmtId="0" fontId="48" fillId="0" borderId="13" xfId="6" applyFont="1" applyBorder="1" applyAlignment="1" applyProtection="1">
      <alignment horizontal="center" vertical="center"/>
      <protection hidden="1"/>
    </xf>
    <xf numFmtId="0" fontId="47" fillId="0" borderId="2" xfId="6" applyFont="1" applyFill="1" applyBorder="1" applyAlignment="1" applyProtection="1">
      <alignment horizontal="center" vertical="center"/>
      <protection hidden="1"/>
    </xf>
    <xf numFmtId="0" fontId="47" fillId="0" borderId="2" xfId="6" applyFont="1" applyBorder="1" applyAlignment="1" applyProtection="1">
      <alignment horizontal="center" vertical="center"/>
      <protection hidden="1"/>
    </xf>
    <xf numFmtId="20" fontId="48" fillId="0" borderId="2" xfId="6" applyNumberFormat="1" applyFont="1" applyFill="1" applyBorder="1" applyAlignment="1" applyProtection="1">
      <alignment horizontal="center" vertical="center"/>
      <protection hidden="1"/>
    </xf>
    <xf numFmtId="20" fontId="48" fillId="0" borderId="2" xfId="6" applyNumberFormat="1" applyFont="1" applyBorder="1" applyAlignment="1" applyProtection="1">
      <alignment horizontal="center" vertical="center"/>
      <protection hidden="1"/>
    </xf>
    <xf numFmtId="0" fontId="48" fillId="0" borderId="48" xfId="6" applyFont="1" applyBorder="1" applyAlignment="1" applyProtection="1">
      <alignment horizontal="center" vertical="center"/>
      <protection hidden="1"/>
    </xf>
    <xf numFmtId="0" fontId="48" fillId="0" borderId="48" xfId="6" applyFont="1" applyFill="1" applyBorder="1" applyAlignment="1" applyProtection="1">
      <alignment horizontal="center" vertical="center"/>
      <protection hidden="1"/>
    </xf>
    <xf numFmtId="2" fontId="48" fillId="0" borderId="2" xfId="6" applyNumberFormat="1" applyFont="1" applyBorder="1" applyAlignment="1" applyProtection="1">
      <alignment horizontal="center" vertical="center"/>
      <protection hidden="1"/>
    </xf>
    <xf numFmtId="0" fontId="48" fillId="0" borderId="0" xfId="6" applyFont="1" applyBorder="1" applyAlignment="1" applyProtection="1">
      <alignment horizontal="center" vertical="center"/>
      <protection hidden="1"/>
    </xf>
    <xf numFmtId="0" fontId="47" fillId="0" borderId="0" xfId="6" applyFont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0" fontId="27" fillId="23" borderId="2" xfId="0" applyFont="1" applyFill="1" applyBorder="1" applyAlignment="1" applyProtection="1">
      <alignment horizontal="center" vertical="center" wrapText="1"/>
      <protection hidden="1"/>
    </xf>
    <xf numFmtId="2" fontId="26" fillId="5" borderId="2" xfId="0" applyNumberFormat="1" applyFont="1" applyFill="1" applyBorder="1" applyAlignment="1" applyProtection="1">
      <alignment horizontal="center" vertical="center" wrapText="1"/>
      <protection hidden="1"/>
    </xf>
    <xf numFmtId="44" fontId="26" fillId="5" borderId="2" xfId="3" applyFont="1" applyFill="1" applyBorder="1" applyAlignment="1" applyProtection="1">
      <alignment vertical="center" wrapText="1"/>
      <protection hidden="1"/>
    </xf>
    <xf numFmtId="44" fontId="26" fillId="5" borderId="2" xfId="3" applyFont="1" applyFill="1" applyBorder="1" applyAlignment="1" applyProtection="1">
      <alignment horizontal="center" vertical="center" wrapText="1"/>
      <protection hidden="1"/>
    </xf>
    <xf numFmtId="2" fontId="26" fillId="0" borderId="0" xfId="0" applyNumberFormat="1" applyFont="1" applyFill="1" applyBorder="1" applyAlignment="1" applyProtection="1">
      <alignment horizontal="left" vertical="center" wrapText="1"/>
      <protection hidden="1"/>
    </xf>
    <xf numFmtId="44" fontId="26" fillId="0" borderId="2" xfId="7" applyNumberFormat="1" applyFont="1" applyBorder="1" applyAlignment="1" applyProtection="1">
      <alignment vertical="center"/>
      <protection hidden="1"/>
    </xf>
    <xf numFmtId="44" fontId="26" fillId="0" borderId="11" xfId="7" applyNumberFormat="1" applyFont="1" applyBorder="1" applyAlignment="1" applyProtection="1">
      <alignment vertical="center"/>
      <protection locked="0"/>
    </xf>
    <xf numFmtId="44" fontId="30" fillId="0" borderId="2" xfId="3" applyFont="1" applyBorder="1" applyAlignment="1" applyProtection="1">
      <alignment horizontal="justify" vertical="center" wrapText="1"/>
      <protection hidden="1"/>
    </xf>
    <xf numFmtId="44" fontId="30" fillId="0" borderId="16" xfId="3" applyFont="1" applyBorder="1" applyAlignment="1" applyProtection="1">
      <alignment horizontal="center" vertical="center" wrapText="1"/>
      <protection hidden="1"/>
    </xf>
    <xf numFmtId="44" fontId="29" fillId="0" borderId="2" xfId="3" applyFont="1" applyBorder="1" applyAlignment="1" applyProtection="1">
      <alignment horizontal="center" vertical="center" wrapText="1"/>
      <protection hidden="1"/>
    </xf>
    <xf numFmtId="44" fontId="29" fillId="0" borderId="0" xfId="3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Protection="1">
      <protection hidden="1"/>
    </xf>
    <xf numFmtId="0" fontId="28" fillId="0" borderId="0" xfId="0" applyFont="1" applyBorder="1" applyAlignment="1" applyProtection="1">
      <alignment wrapText="1"/>
      <protection hidden="1"/>
    </xf>
    <xf numFmtId="0" fontId="29" fillId="15" borderId="2" xfId="0" applyFont="1" applyFill="1" applyBorder="1" applyAlignment="1" applyProtection="1">
      <alignment vertical="center" wrapText="1"/>
      <protection hidden="1"/>
    </xf>
    <xf numFmtId="0" fontId="28" fillId="0" borderId="0" xfId="0" applyFont="1" applyProtection="1">
      <protection hidden="1"/>
    </xf>
    <xf numFmtId="0" fontId="28" fillId="0" borderId="3" xfId="0" applyFont="1" applyBorder="1" applyProtection="1">
      <protection hidden="1"/>
    </xf>
    <xf numFmtId="0" fontId="24" fillId="0" borderId="0" xfId="0" applyFont="1" applyProtection="1">
      <protection hidden="1"/>
    </xf>
    <xf numFmtId="0" fontId="26" fillId="20" borderId="2" xfId="0" applyFont="1" applyFill="1" applyBorder="1" applyAlignment="1" applyProtection="1">
      <alignment horizontal="center" vertical="center" wrapText="1"/>
      <protection hidden="1"/>
    </xf>
    <xf numFmtId="0" fontId="28" fillId="0" borderId="3" xfId="0" applyFont="1" applyBorder="1" applyAlignment="1" applyProtection="1">
      <alignment wrapText="1"/>
      <protection hidden="1"/>
    </xf>
    <xf numFmtId="44" fontId="18" fillId="0" borderId="2" xfId="3" applyFont="1" applyBorder="1" applyProtection="1">
      <protection hidden="1"/>
    </xf>
    <xf numFmtId="44" fontId="18" fillId="19" borderId="2" xfId="3" applyFont="1" applyFill="1" applyBorder="1" applyProtection="1">
      <protection hidden="1"/>
    </xf>
    <xf numFmtId="44" fontId="18" fillId="19" borderId="2" xfId="3" applyFont="1" applyFill="1" applyBorder="1" applyAlignment="1" applyProtection="1">
      <alignment vertical="center"/>
      <protection hidden="1"/>
    </xf>
    <xf numFmtId="44" fontId="20" fillId="17" borderId="2" xfId="2" applyNumberFormat="1" applyFont="1" applyFill="1" applyBorder="1" applyAlignment="1" applyProtection="1">
      <alignment horizontal="center" vertical="center"/>
      <protection hidden="1"/>
    </xf>
    <xf numFmtId="0" fontId="26" fillId="0" borderId="2" xfId="0" applyFont="1" applyBorder="1" applyAlignment="1" applyProtection="1">
      <alignment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justify" vertical="center" wrapText="1"/>
      <protection locked="0"/>
    </xf>
    <xf numFmtId="44" fontId="30" fillId="0" borderId="2" xfId="3" applyFont="1" applyBorder="1" applyAlignment="1" applyProtection="1">
      <alignment horizontal="justify" vertical="center" wrapText="1"/>
      <protection locked="0"/>
    </xf>
    <xf numFmtId="44" fontId="18" fillId="19" borderId="2" xfId="3" applyFont="1" applyFill="1" applyBorder="1" applyAlignment="1" applyProtection="1">
      <alignment horizontal="center" vertical="center"/>
      <protection hidden="1"/>
    </xf>
    <xf numFmtId="0" fontId="18" fillId="19" borderId="2" xfId="2" applyFont="1" applyFill="1" applyBorder="1" applyAlignment="1" applyProtection="1">
      <alignment horizontal="center" vertical="center"/>
      <protection locked="0"/>
    </xf>
    <xf numFmtId="0" fontId="19" fillId="19" borderId="2" xfId="2" applyFont="1" applyFill="1" applyBorder="1" applyAlignment="1" applyProtection="1">
      <alignment horizontal="justify" vertical="center" wrapText="1"/>
      <protection locked="0"/>
    </xf>
    <xf numFmtId="0" fontId="19" fillId="19" borderId="2" xfId="2" applyFont="1" applyFill="1" applyBorder="1" applyAlignment="1" applyProtection="1">
      <alignment horizontal="center" vertical="center"/>
      <protection locked="0"/>
    </xf>
    <xf numFmtId="44" fontId="18" fillId="3" borderId="2" xfId="2" applyNumberFormat="1" applyFont="1" applyFill="1" applyBorder="1" applyAlignment="1" applyProtection="1">
      <alignment vertical="center"/>
      <protection locked="0"/>
    </xf>
    <xf numFmtId="44" fontId="18" fillId="0" borderId="2" xfId="3" applyFont="1" applyBorder="1" applyAlignment="1" applyProtection="1">
      <alignment horizontal="center" vertical="center"/>
      <protection locked="0"/>
    </xf>
    <xf numFmtId="44" fontId="18" fillId="0" borderId="2" xfId="3" applyFont="1" applyBorder="1" applyAlignment="1" applyProtection="1">
      <alignment vertical="center"/>
      <protection locked="0"/>
    </xf>
    <xf numFmtId="44" fontId="18" fillId="0" borderId="2" xfId="3" applyFont="1" applyBorder="1" applyProtection="1">
      <protection locked="0"/>
    </xf>
    <xf numFmtId="44" fontId="18" fillId="0" borderId="2" xfId="3" applyFont="1" applyFill="1" applyBorder="1" applyAlignment="1" applyProtection="1">
      <alignment vertical="center"/>
      <protection locked="0"/>
    </xf>
    <xf numFmtId="44" fontId="18" fillId="0" borderId="2" xfId="3" applyFont="1" applyFill="1" applyBorder="1" applyProtection="1">
      <protection locked="0"/>
    </xf>
    <xf numFmtId="44" fontId="18" fillId="0" borderId="2" xfId="3" applyFont="1" applyFill="1" applyBorder="1" applyAlignment="1" applyProtection="1">
      <alignment horizontal="center" vertical="center"/>
      <protection locked="0"/>
    </xf>
    <xf numFmtId="0" fontId="18" fillId="0" borderId="2" xfId="2" applyFont="1" applyBorder="1" applyProtection="1">
      <protection locked="0"/>
    </xf>
    <xf numFmtId="0" fontId="19" fillId="19" borderId="2" xfId="2" applyFont="1" applyFill="1" applyBorder="1" applyAlignment="1" applyProtection="1">
      <alignment vertical="center" wrapText="1"/>
      <protection locked="0"/>
    </xf>
    <xf numFmtId="0" fontId="18" fillId="19" borderId="2" xfId="2" applyFont="1" applyFill="1" applyBorder="1" applyAlignment="1" applyProtection="1">
      <alignment vertical="center"/>
      <protection locked="0"/>
    </xf>
    <xf numFmtId="0" fontId="19" fillId="19" borderId="2" xfId="2" applyFont="1" applyFill="1" applyBorder="1" applyAlignment="1" applyProtection="1">
      <alignment vertical="center"/>
      <protection locked="0"/>
    </xf>
    <xf numFmtId="8" fontId="18" fillId="0" borderId="2" xfId="3" applyNumberFormat="1" applyFont="1" applyBorder="1" applyAlignment="1" applyProtection="1">
      <alignment vertical="center"/>
      <protection locked="0"/>
    </xf>
    <xf numFmtId="0" fontId="18" fillId="19" borderId="2" xfId="2" applyFont="1" applyFill="1" applyBorder="1" applyAlignment="1" applyProtection="1">
      <alignment vertical="center" wrapText="1"/>
      <protection locked="0"/>
    </xf>
    <xf numFmtId="0" fontId="18" fillId="19" borderId="2" xfId="2" applyFont="1" applyFill="1" applyBorder="1" applyAlignment="1" applyProtection="1">
      <alignment horizontal="center" vertical="center" wrapText="1"/>
      <protection locked="0"/>
    </xf>
    <xf numFmtId="0" fontId="19" fillId="19" borderId="2" xfId="2" applyFont="1" applyFill="1" applyBorder="1" applyAlignment="1" applyProtection="1">
      <alignment horizontal="center" vertical="center" wrapText="1"/>
      <protection locked="0"/>
    </xf>
    <xf numFmtId="0" fontId="19" fillId="19" borderId="2" xfId="2" applyFont="1" applyFill="1" applyBorder="1" applyAlignment="1" applyProtection="1">
      <alignment horizontal="justify"/>
      <protection locked="0"/>
    </xf>
    <xf numFmtId="0" fontId="19" fillId="19" borderId="2" xfId="2" applyFont="1" applyFill="1" applyBorder="1" applyAlignment="1" applyProtection="1">
      <alignment horizontal="center"/>
      <protection locked="0"/>
    </xf>
    <xf numFmtId="44" fontId="18" fillId="0" borderId="2" xfId="3" applyFont="1" applyBorder="1" applyAlignment="1" applyProtection="1">
      <alignment horizontal="center"/>
      <protection locked="0"/>
    </xf>
    <xf numFmtId="0" fontId="19" fillId="19" borderId="2" xfId="2" applyFont="1" applyFill="1" applyBorder="1" applyAlignment="1" applyProtection="1">
      <alignment horizontal="justify" vertical="center"/>
      <protection locked="0"/>
    </xf>
    <xf numFmtId="0" fontId="20" fillId="17" borderId="11" xfId="2" applyFont="1" applyFill="1" applyBorder="1" applyAlignment="1" applyProtection="1">
      <alignment horizontal="center" vertical="center" wrapText="1"/>
      <protection hidden="1"/>
    </xf>
    <xf numFmtId="44" fontId="30" fillId="0" borderId="2" xfId="3" applyFont="1" applyBorder="1" applyAlignment="1" applyProtection="1">
      <alignment horizontal="center" vertical="center" wrapText="1"/>
      <protection hidden="1"/>
    </xf>
    <xf numFmtId="40" fontId="34" fillId="16" borderId="39" xfId="0" applyNumberFormat="1" applyFont="1" applyFill="1" applyBorder="1" applyAlignment="1" applyProtection="1">
      <alignment horizontal="right" vertical="center" wrapText="1"/>
      <protection hidden="1"/>
    </xf>
    <xf numFmtId="2" fontId="0" fillId="0" borderId="0" xfId="0" applyNumberFormat="1" applyProtection="1">
      <protection hidden="1"/>
    </xf>
    <xf numFmtId="40" fontId="32" fillId="0" borderId="39" xfId="0" applyNumberFormat="1" applyFont="1" applyFill="1" applyBorder="1" applyAlignment="1" applyProtection="1">
      <alignment horizontal="right" vertical="center" wrapText="1"/>
      <protection hidden="1"/>
    </xf>
    <xf numFmtId="40" fontId="32" fillId="16" borderId="39" xfId="0" applyNumberFormat="1" applyFont="1" applyFill="1" applyBorder="1" applyAlignment="1" applyProtection="1">
      <alignment horizontal="right" vertical="center" wrapText="1"/>
      <protection hidden="1"/>
    </xf>
    <xf numFmtId="0" fontId="32" fillId="12" borderId="39" xfId="0" applyFont="1" applyFill="1" applyBorder="1" applyAlignment="1" applyProtection="1">
      <alignment horizontal="right" vertical="center" wrapText="1"/>
      <protection hidden="1"/>
    </xf>
    <xf numFmtId="0" fontId="37" fillId="12" borderId="39" xfId="0" applyFont="1" applyFill="1" applyBorder="1" applyAlignment="1" applyProtection="1">
      <alignment horizontal="right" vertical="center" wrapText="1"/>
      <protection hidden="1"/>
    </xf>
    <xf numFmtId="0" fontId="37" fillId="16" borderId="39" xfId="0" applyFont="1" applyFill="1" applyBorder="1" applyAlignment="1" applyProtection="1">
      <alignment horizontal="right" vertical="center" wrapText="1"/>
      <protection hidden="1"/>
    </xf>
    <xf numFmtId="0" fontId="32" fillId="22" borderId="28" xfId="0" applyFont="1" applyFill="1" applyBorder="1" applyAlignment="1" applyProtection="1">
      <alignment horizontal="left" vertical="center"/>
      <protection hidden="1"/>
    </xf>
    <xf numFmtId="10" fontId="49" fillId="0" borderId="11" xfId="5" applyNumberFormat="1" applyFont="1" applyBorder="1" applyAlignment="1" applyProtection="1">
      <alignment horizontal="center" vertical="center"/>
      <protection hidden="1"/>
    </xf>
    <xf numFmtId="10" fontId="49" fillId="0" borderId="44" xfId="5" applyNumberFormat="1" applyFont="1" applyBorder="1" applyAlignment="1" applyProtection="1">
      <alignment horizontal="center" vertical="center"/>
      <protection hidden="1"/>
    </xf>
    <xf numFmtId="10" fontId="49" fillId="0" borderId="16" xfId="5" applyNumberFormat="1" applyFont="1" applyBorder="1" applyAlignment="1" applyProtection="1">
      <alignment horizontal="center" vertical="center"/>
      <protection hidden="1"/>
    </xf>
    <xf numFmtId="10" fontId="49" fillId="0" borderId="2" xfId="5" applyNumberFormat="1" applyFont="1" applyBorder="1" applyAlignment="1" applyProtection="1">
      <alignment horizontal="center" vertical="center"/>
      <protection hidden="1"/>
    </xf>
    <xf numFmtId="10" fontId="49" fillId="0" borderId="10" xfId="5" applyNumberFormat="1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44" fontId="0" fillId="0" borderId="2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55" fillId="8" borderId="2" xfId="0" applyFont="1" applyFill="1" applyBorder="1" applyAlignment="1">
      <alignment horizontal="left" vertical="center"/>
    </xf>
    <xf numFmtId="44" fontId="55" fillId="8" borderId="2" xfId="0" applyNumberFormat="1" applyFont="1" applyFill="1" applyBorder="1" applyAlignment="1">
      <alignment horizontal="right" vertical="center"/>
    </xf>
    <xf numFmtId="0" fontId="0" fillId="8" borderId="2" xfId="0" applyFill="1" applyBorder="1" applyAlignment="1">
      <alignment horizontal="left" vertical="center" wrapText="1"/>
    </xf>
    <xf numFmtId="44" fontId="0" fillId="19" borderId="63" xfId="0" applyNumberFormat="1" applyFill="1" applyBorder="1" applyAlignment="1">
      <alignment horizontal="right" vertical="center"/>
    </xf>
    <xf numFmtId="0" fontId="0" fillId="19" borderId="63" xfId="0" applyFill="1" applyBorder="1" applyAlignment="1">
      <alignment horizontal="center" vertical="center"/>
    </xf>
    <xf numFmtId="1" fontId="55" fillId="8" borderId="2" xfId="0" applyNumberFormat="1" applyFont="1" applyFill="1" applyBorder="1" applyAlignment="1">
      <alignment horizontal="center" vertical="center"/>
    </xf>
    <xf numFmtId="0" fontId="32" fillId="22" borderId="49" xfId="0" applyFont="1" applyFill="1" applyBorder="1" applyAlignment="1" applyProtection="1">
      <alignment horizontal="center" vertical="center" wrapText="1"/>
      <protection hidden="1"/>
    </xf>
    <xf numFmtId="0" fontId="32" fillId="22" borderId="50" xfId="0" applyFont="1" applyFill="1" applyBorder="1" applyAlignment="1" applyProtection="1">
      <alignment horizontal="left" vertical="center" wrapText="1"/>
      <protection hidden="1"/>
    </xf>
    <xf numFmtId="10" fontId="3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32" fillId="12" borderId="67" xfId="0" applyFont="1" applyFill="1" applyBorder="1" applyAlignment="1" applyProtection="1">
      <alignment vertical="center" wrapText="1"/>
      <protection hidden="1"/>
    </xf>
    <xf numFmtId="40" fontId="34" fillId="16" borderId="67" xfId="0" applyNumberFormat="1" applyFont="1" applyFill="1" applyBorder="1" applyAlignment="1" applyProtection="1">
      <alignment horizontal="right" vertical="center" wrapText="1"/>
      <protection hidden="1"/>
    </xf>
    <xf numFmtId="0" fontId="37" fillId="12" borderId="67" xfId="0" applyFont="1" applyFill="1" applyBorder="1" applyAlignment="1" applyProtection="1">
      <alignment vertical="center" wrapText="1"/>
      <protection hidden="1"/>
    </xf>
    <xf numFmtId="40" fontId="32" fillId="22" borderId="67" xfId="0" applyNumberFormat="1" applyFont="1" applyFill="1" applyBorder="1" applyAlignment="1" applyProtection="1">
      <alignment horizontal="right" vertical="center" wrapText="1"/>
      <protection locked="0"/>
    </xf>
    <xf numFmtId="0" fontId="37" fillId="16" borderId="67" xfId="0" applyFont="1" applyFill="1" applyBorder="1" applyAlignment="1" applyProtection="1">
      <alignment vertical="center" wrapText="1"/>
      <protection hidden="1"/>
    </xf>
    <xf numFmtId="40" fontId="34" fillId="16" borderId="67" xfId="0" applyNumberFormat="1" applyFont="1" applyFill="1" applyBorder="1" applyAlignment="1" applyProtection="1">
      <alignment horizontal="center" vertical="center"/>
      <protection hidden="1"/>
    </xf>
    <xf numFmtId="40" fontId="32" fillId="0" borderId="67" xfId="0" applyNumberFormat="1" applyFont="1" applyBorder="1" applyAlignment="1" applyProtection="1">
      <alignment horizontal="right" vertical="center" wrapText="1"/>
      <protection locked="0"/>
    </xf>
    <xf numFmtId="40" fontId="32" fillId="0" borderId="39" xfId="0" applyNumberFormat="1" applyFont="1" applyBorder="1" applyAlignment="1" applyProtection="1">
      <alignment horizontal="right" vertical="center" wrapText="1"/>
      <protection locked="0"/>
    </xf>
    <xf numFmtId="40" fontId="32" fillId="22" borderId="39" xfId="0" applyNumberFormat="1" applyFont="1" applyFill="1" applyBorder="1" applyAlignment="1" applyProtection="1">
      <alignment horizontal="right" vertical="center" wrapText="1"/>
      <protection locked="0"/>
    </xf>
    <xf numFmtId="0" fontId="37" fillId="16" borderId="28" xfId="0" applyFont="1" applyFill="1" applyBorder="1" applyAlignment="1" applyProtection="1">
      <alignment vertical="center" wrapText="1"/>
    </xf>
    <xf numFmtId="40" fontId="34" fillId="16" borderId="67" xfId="0" applyNumberFormat="1" applyFont="1" applyFill="1" applyBorder="1" applyAlignment="1" applyProtection="1">
      <alignment horizontal="right" vertical="center" wrapText="1"/>
    </xf>
    <xf numFmtId="40" fontId="32" fillId="16" borderId="67" xfId="0" applyNumberFormat="1" applyFont="1" applyFill="1" applyBorder="1" applyAlignment="1" applyProtection="1">
      <alignment horizontal="right" vertical="center" wrapText="1"/>
    </xf>
    <xf numFmtId="10" fontId="34" fillId="16" borderId="28" xfId="0" applyNumberFormat="1" applyFont="1" applyFill="1" applyBorder="1" applyAlignment="1" applyProtection="1">
      <alignment horizontal="center" vertical="center" wrapText="1"/>
    </xf>
    <xf numFmtId="0" fontId="37" fillId="16" borderId="67" xfId="0" applyFont="1" applyFill="1" applyBorder="1" applyAlignment="1" applyProtection="1">
      <alignment vertical="center" wrapText="1"/>
    </xf>
    <xf numFmtId="40" fontId="34" fillId="16" borderId="68" xfId="0" applyNumberFormat="1" applyFont="1" applyFill="1" applyBorder="1" applyAlignment="1" applyProtection="1">
      <alignment horizontal="right" vertical="center" wrapText="1"/>
    </xf>
    <xf numFmtId="40" fontId="32" fillId="0" borderId="67" xfId="0" applyNumberFormat="1" applyFont="1" applyFill="1" applyBorder="1" applyAlignment="1" applyProtection="1">
      <alignment horizontal="right" vertical="center" wrapText="1"/>
    </xf>
    <xf numFmtId="40" fontId="32" fillId="22" borderId="67" xfId="0" applyNumberFormat="1" applyFont="1" applyFill="1" applyBorder="1" applyAlignment="1" applyProtection="1">
      <alignment horizontal="right" vertical="center" wrapText="1"/>
    </xf>
    <xf numFmtId="10" fontId="32" fillId="22" borderId="28" xfId="0" applyNumberFormat="1" applyFont="1" applyFill="1" applyBorder="1" applyAlignment="1" applyProtection="1">
      <alignment horizontal="center" vertical="center" wrapText="1"/>
      <protection locked="0"/>
    </xf>
    <xf numFmtId="10" fontId="43" fillId="22" borderId="28" xfId="0" applyNumberFormat="1" applyFont="1" applyFill="1" applyBorder="1" applyAlignment="1" applyProtection="1">
      <alignment horizontal="center" vertical="center" wrapText="1"/>
      <protection locked="0"/>
    </xf>
    <xf numFmtId="10" fontId="35" fillId="22" borderId="28" xfId="0" applyNumberFormat="1" applyFont="1" applyFill="1" applyBorder="1" applyAlignment="1" applyProtection="1">
      <alignment horizontal="center" vertical="center" wrapText="1"/>
      <protection locked="0"/>
    </xf>
    <xf numFmtId="10" fontId="32" fillId="22" borderId="28" xfId="0" applyNumberFormat="1" applyFont="1" applyFill="1" applyBorder="1" applyAlignment="1" applyProtection="1">
      <alignment horizontal="center" vertical="center" wrapText="1"/>
    </xf>
    <xf numFmtId="10" fontId="32" fillId="0" borderId="28" xfId="0" applyNumberFormat="1" applyFont="1" applyFill="1" applyBorder="1" applyAlignment="1" applyProtection="1">
      <alignment horizontal="center" vertical="center" wrapText="1"/>
    </xf>
    <xf numFmtId="168" fontId="32" fillId="22" borderId="28" xfId="0" applyNumberFormat="1" applyFont="1" applyFill="1" applyBorder="1" applyAlignment="1" applyProtection="1">
      <alignment horizontal="center" vertical="center" wrapText="1"/>
    </xf>
    <xf numFmtId="10" fontId="32" fillId="16" borderId="28" xfId="0" applyNumberFormat="1" applyFont="1" applyFill="1" applyBorder="1" applyAlignment="1" applyProtection="1">
      <alignment horizontal="center" vertical="center" wrapText="1"/>
    </xf>
    <xf numFmtId="10" fontId="34" fillId="16" borderId="42" xfId="0" applyNumberFormat="1" applyFont="1" applyFill="1" applyBorder="1" applyAlignment="1" applyProtection="1">
      <alignment horizontal="center" vertical="center" wrapText="1"/>
    </xf>
    <xf numFmtId="40" fontId="32" fillId="22" borderId="70" xfId="0" applyNumberFormat="1" applyFont="1" applyFill="1" applyBorder="1" applyAlignment="1" applyProtection="1">
      <alignment horizontal="right" vertical="center" wrapText="1"/>
    </xf>
    <xf numFmtId="40" fontId="43" fillId="16" borderId="67" xfId="0" applyNumberFormat="1" applyFont="1" applyFill="1" applyBorder="1" applyAlignment="1" applyProtection="1">
      <alignment horizontal="center" vertical="center" wrapText="1"/>
    </xf>
    <xf numFmtId="40" fontId="32" fillId="0" borderId="67" xfId="0" applyNumberFormat="1" applyFont="1" applyFill="1" applyBorder="1" applyAlignment="1" applyProtection="1">
      <alignment horizontal="center" vertical="center" wrapText="1"/>
    </xf>
    <xf numFmtId="40" fontId="32" fillId="16" borderId="67" xfId="0" applyNumberFormat="1" applyFont="1" applyFill="1" applyBorder="1" applyAlignment="1" applyProtection="1">
      <alignment horizontal="center" vertical="center" wrapText="1"/>
    </xf>
    <xf numFmtId="40" fontId="34" fillId="13" borderId="67" xfId="0" applyNumberFormat="1" applyFont="1" applyFill="1" applyBorder="1" applyAlignment="1" applyProtection="1">
      <alignment horizontal="right" vertical="center" wrapText="1"/>
    </xf>
    <xf numFmtId="10" fontId="34" fillId="13" borderId="73" xfId="0" applyNumberFormat="1" applyFont="1" applyFill="1" applyBorder="1" applyAlignment="1" applyProtection="1">
      <alignment horizontal="right" vertical="center" wrapText="1"/>
    </xf>
    <xf numFmtId="0" fontId="34" fillId="22" borderId="28" xfId="0" applyFont="1" applyFill="1" applyBorder="1" applyAlignment="1" applyProtection="1">
      <alignment horizontal="left" vertical="center" wrapText="1"/>
      <protection locked="0"/>
    </xf>
    <xf numFmtId="0" fontId="39" fillId="22" borderId="28" xfId="0" applyFont="1" applyFill="1" applyBorder="1" applyAlignment="1" applyProtection="1">
      <alignment horizontal="left" vertical="center" wrapText="1"/>
      <protection locked="0"/>
    </xf>
    <xf numFmtId="0" fontId="41" fillId="22" borderId="28" xfId="0" applyFont="1" applyFill="1" applyBorder="1" applyAlignment="1" applyProtection="1">
      <alignment horizontal="left" vertical="center" wrapText="1"/>
      <protection locked="0"/>
    </xf>
    <xf numFmtId="0" fontId="32" fillId="22" borderId="28" xfId="0" applyFont="1" applyFill="1" applyBorder="1" applyAlignment="1" applyProtection="1">
      <alignment horizontal="left" vertical="center" wrapText="1"/>
      <protection locked="0"/>
    </xf>
    <xf numFmtId="0" fontId="32" fillId="0" borderId="28" xfId="0" applyFont="1" applyFill="1" applyBorder="1" applyAlignment="1" applyProtection="1">
      <alignment horizontal="left" vertical="center" wrapText="1"/>
      <protection locked="0"/>
    </xf>
    <xf numFmtId="40" fontId="34" fillId="13" borderId="39" xfId="0" applyNumberFormat="1" applyFont="1" applyFill="1" applyBorder="1" applyAlignment="1" applyProtection="1">
      <alignment horizontal="right" vertical="center" wrapText="1"/>
    </xf>
    <xf numFmtId="10" fontId="34" fillId="13" borderId="43" xfId="0" applyNumberFormat="1" applyFont="1" applyFill="1" applyBorder="1" applyAlignment="1" applyProtection="1">
      <alignment horizontal="right" vertical="center" wrapText="1"/>
    </xf>
    <xf numFmtId="40" fontId="32" fillId="22" borderId="39" xfId="0" applyNumberFormat="1" applyFont="1" applyFill="1" applyBorder="1" applyAlignment="1" applyProtection="1">
      <alignment horizontal="right" vertical="center" wrapText="1"/>
    </xf>
    <xf numFmtId="40" fontId="32" fillId="16" borderId="39" xfId="0" applyNumberFormat="1" applyFont="1" applyFill="1" applyBorder="1" applyAlignment="1" applyProtection="1">
      <alignment horizontal="right" vertical="center" wrapText="1"/>
    </xf>
    <xf numFmtId="40" fontId="43" fillId="16" borderId="39" xfId="0" applyNumberFormat="1" applyFont="1" applyFill="1" applyBorder="1" applyAlignment="1" applyProtection="1">
      <alignment horizontal="right" vertical="center" wrapText="1"/>
    </xf>
    <xf numFmtId="40" fontId="34" fillId="16" borderId="39" xfId="0" applyNumberFormat="1" applyFont="1" applyFill="1" applyBorder="1" applyAlignment="1" applyProtection="1">
      <alignment horizontal="right" vertical="center" wrapText="1"/>
    </xf>
    <xf numFmtId="0" fontId="37" fillId="16" borderId="39" xfId="0" applyFont="1" applyFill="1" applyBorder="1" applyAlignment="1" applyProtection="1">
      <alignment horizontal="right" vertical="center" wrapText="1"/>
    </xf>
    <xf numFmtId="40" fontId="32" fillId="0" borderId="39" xfId="0" applyNumberFormat="1" applyFont="1" applyFill="1" applyBorder="1" applyAlignment="1" applyProtection="1">
      <alignment horizontal="right" vertical="center" wrapText="1"/>
    </xf>
    <xf numFmtId="40" fontId="34" fillId="16" borderId="43" xfId="0" applyNumberFormat="1" applyFont="1" applyFill="1" applyBorder="1" applyAlignment="1" applyProtection="1">
      <alignment horizontal="right" vertical="center" wrapText="1"/>
    </xf>
    <xf numFmtId="10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40" fontId="32" fillId="16" borderId="39" xfId="0" applyNumberFormat="1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justify" vertical="center" wrapText="1"/>
    </xf>
    <xf numFmtId="0" fontId="3" fillId="15" borderId="25" xfId="0" applyFont="1" applyFill="1" applyBorder="1" applyAlignment="1">
      <alignment horizontal="center"/>
    </xf>
    <xf numFmtId="0" fontId="3" fillId="15" borderId="26" xfId="0" applyFont="1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16" borderId="25" xfId="0" applyFont="1" applyFill="1" applyBorder="1" applyAlignment="1">
      <alignment horizontal="center"/>
    </xf>
    <xf numFmtId="0" fontId="3" fillId="16" borderId="27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3" fillId="16" borderId="26" xfId="0" applyFont="1" applyFill="1" applyBorder="1" applyAlignment="1">
      <alignment horizontal="center"/>
    </xf>
    <xf numFmtId="0" fontId="20" fillId="3" borderId="2" xfId="4" applyFont="1" applyFill="1" applyBorder="1" applyAlignment="1">
      <alignment horizontal="center"/>
    </xf>
    <xf numFmtId="0" fontId="18" fillId="0" borderId="2" xfId="4" applyFont="1" applyBorder="1" applyAlignment="1">
      <alignment horizontal="justify" vertical="center" wrapText="1"/>
    </xf>
    <xf numFmtId="44" fontId="20" fillId="17" borderId="11" xfId="2" applyNumberFormat="1" applyFont="1" applyFill="1" applyBorder="1" applyAlignment="1" applyProtection="1">
      <alignment horizontal="right" vertical="center"/>
      <protection hidden="1"/>
    </xf>
    <xf numFmtId="44" fontId="20" fillId="17" borderId="24" xfId="2" applyNumberFormat="1" applyFont="1" applyFill="1" applyBorder="1" applyAlignment="1" applyProtection="1">
      <alignment horizontal="right" vertical="center"/>
      <protection hidden="1"/>
    </xf>
    <xf numFmtId="44" fontId="20" fillId="17" borderId="13" xfId="2" applyNumberFormat="1" applyFont="1" applyFill="1" applyBorder="1" applyAlignment="1" applyProtection="1">
      <alignment horizontal="right" vertical="center"/>
      <protection hidden="1"/>
    </xf>
    <xf numFmtId="44" fontId="18" fillId="0" borderId="2" xfId="2" applyNumberFormat="1" applyFont="1" applyBorder="1" applyAlignment="1" applyProtection="1">
      <alignment horizontal="center" vertical="center" wrapText="1"/>
      <protection hidden="1"/>
    </xf>
    <xf numFmtId="44" fontId="20" fillId="17" borderId="2" xfId="2" applyNumberFormat="1" applyFont="1" applyFill="1" applyBorder="1" applyAlignment="1" applyProtection="1">
      <alignment horizontal="center" vertical="center" wrapText="1"/>
      <protection hidden="1"/>
    </xf>
    <xf numFmtId="0" fontId="18" fillId="18" borderId="2" xfId="2" applyFont="1" applyFill="1" applyBorder="1" applyAlignment="1">
      <alignment horizontal="center" vertical="center" wrapText="1"/>
    </xf>
    <xf numFmtId="0" fontId="20" fillId="17" borderId="24" xfId="2" applyFont="1" applyFill="1" applyBorder="1" applyAlignment="1" applyProtection="1">
      <alignment horizontal="center" vertical="center" wrapText="1"/>
      <protection hidden="1"/>
    </xf>
    <xf numFmtId="0" fontId="20" fillId="17" borderId="13" xfId="2" applyFont="1" applyFill="1" applyBorder="1" applyAlignment="1" applyProtection="1">
      <alignment horizontal="center" vertical="center" wrapText="1"/>
      <protection hidden="1"/>
    </xf>
    <xf numFmtId="0" fontId="20" fillId="3" borderId="2" xfId="2" applyFont="1" applyFill="1" applyBorder="1" applyAlignment="1" applyProtection="1">
      <alignment horizontal="center" vertical="center"/>
      <protection hidden="1"/>
    </xf>
    <xf numFmtId="0" fontId="20" fillId="17" borderId="2" xfId="2" applyFont="1" applyFill="1" applyBorder="1" applyAlignment="1" applyProtection="1">
      <alignment horizontal="center" vertical="center" wrapText="1"/>
      <protection hidden="1"/>
    </xf>
    <xf numFmtId="0" fontId="20" fillId="17" borderId="2" xfId="2" applyFont="1" applyFill="1" applyBorder="1" applyAlignment="1" applyProtection="1">
      <alignment horizontal="center" vertical="center"/>
      <protection hidden="1"/>
    </xf>
    <xf numFmtId="0" fontId="21" fillId="17" borderId="2" xfId="2" applyFont="1" applyFill="1" applyBorder="1" applyAlignment="1" applyProtection="1">
      <alignment horizontal="center" vertical="center" wrapText="1"/>
      <protection hidden="1"/>
    </xf>
    <xf numFmtId="0" fontId="21" fillId="17" borderId="2" xfId="2" applyFont="1" applyFill="1" applyBorder="1" applyAlignment="1" applyProtection="1">
      <alignment horizontal="center" vertical="center"/>
      <protection hidden="1"/>
    </xf>
    <xf numFmtId="44" fontId="20" fillId="3" borderId="10" xfId="2" applyNumberFormat="1" applyFont="1" applyFill="1" applyBorder="1" applyAlignment="1" applyProtection="1">
      <alignment horizontal="center" vertical="center" wrapText="1"/>
      <protection hidden="1"/>
    </xf>
    <xf numFmtId="44" fontId="20" fillId="3" borderId="16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4" applyFont="1" applyBorder="1" applyAlignment="1">
      <alignment horizontal="justify" vertical="center" wrapText="1"/>
    </xf>
    <xf numFmtId="0" fontId="10" fillId="16" borderId="2" xfId="5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25" fillId="3" borderId="2" xfId="0" applyFont="1" applyFill="1" applyBorder="1" applyAlignment="1" applyProtection="1">
      <alignment horizontal="center"/>
      <protection hidden="1"/>
    </xf>
    <xf numFmtId="0" fontId="26" fillId="20" borderId="2" xfId="0" applyFont="1" applyFill="1" applyBorder="1" applyAlignment="1" applyProtection="1">
      <alignment horizontal="center" vertical="center" wrapText="1"/>
      <protection hidden="1"/>
    </xf>
    <xf numFmtId="0" fontId="25" fillId="21" borderId="2" xfId="0" applyFont="1" applyFill="1" applyBorder="1" applyAlignment="1" applyProtection="1">
      <alignment horizontal="center"/>
      <protection hidden="1"/>
    </xf>
    <xf numFmtId="0" fontId="27" fillId="27" borderId="10" xfId="0" applyFont="1" applyFill="1" applyBorder="1" applyAlignment="1" applyProtection="1">
      <alignment horizontal="center" vertical="center" wrapText="1"/>
      <protection hidden="1"/>
    </xf>
    <xf numFmtId="0" fontId="27" fillId="27" borderId="16" xfId="0" applyFont="1" applyFill="1" applyBorder="1" applyAlignment="1" applyProtection="1">
      <alignment horizontal="center" vertical="center" wrapText="1"/>
      <protection hidden="1"/>
    </xf>
    <xf numFmtId="0" fontId="25" fillId="13" borderId="2" xfId="0" applyFont="1" applyFill="1" applyBorder="1" applyAlignment="1" applyProtection="1">
      <alignment horizontal="center"/>
      <protection hidden="1"/>
    </xf>
    <xf numFmtId="2" fontId="26" fillId="3" borderId="11" xfId="0" applyNumberFormat="1" applyFont="1" applyFill="1" applyBorder="1" applyAlignment="1" applyProtection="1">
      <alignment horizontal="justify" vertical="center" wrapText="1"/>
      <protection hidden="1"/>
    </xf>
    <xf numFmtId="2" fontId="26" fillId="3" borderId="24" xfId="0" applyNumberFormat="1" applyFont="1" applyFill="1" applyBorder="1" applyAlignment="1" applyProtection="1">
      <alignment horizontal="justify" vertical="center" wrapText="1"/>
      <protection hidden="1"/>
    </xf>
    <xf numFmtId="2" fontId="26" fillId="3" borderId="13" xfId="0" applyNumberFormat="1" applyFont="1" applyFill="1" applyBorder="1" applyAlignment="1" applyProtection="1">
      <alignment horizontal="justify" vertical="center" wrapText="1"/>
      <protection hidden="1"/>
    </xf>
    <xf numFmtId="0" fontId="27" fillId="21" borderId="11" xfId="7" applyFont="1" applyFill="1" applyBorder="1" applyAlignment="1" applyProtection="1">
      <alignment horizontal="center" vertical="center"/>
      <protection hidden="1"/>
    </xf>
    <xf numFmtId="0" fontId="27" fillId="21" borderId="13" xfId="7" applyFont="1" applyFill="1" applyBorder="1" applyAlignment="1" applyProtection="1">
      <alignment horizontal="center" vertical="center"/>
      <protection hidden="1"/>
    </xf>
    <xf numFmtId="0" fontId="27" fillId="21" borderId="24" xfId="7" applyFont="1" applyFill="1" applyBorder="1" applyAlignment="1" applyProtection="1">
      <alignment horizontal="center" vertical="center"/>
      <protection hidden="1"/>
    </xf>
    <xf numFmtId="2" fontId="26" fillId="3" borderId="11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24" xfId="0" applyNumberFormat="1" applyFont="1" applyFill="1" applyBorder="1" applyAlignment="1" applyProtection="1">
      <alignment horizontal="center" vertical="center" wrapText="1"/>
      <protection hidden="1"/>
    </xf>
    <xf numFmtId="2" fontId="26" fillId="3" borderId="13" xfId="0" applyNumberFormat="1" applyFont="1" applyFill="1" applyBorder="1" applyAlignment="1" applyProtection="1">
      <alignment horizontal="center" vertical="center" wrapText="1"/>
      <protection hidden="1"/>
    </xf>
    <xf numFmtId="0" fontId="27" fillId="9" borderId="11" xfId="0" applyFont="1" applyFill="1" applyBorder="1" applyAlignment="1" applyProtection="1">
      <alignment horizontal="center" vertical="center" wrapText="1"/>
      <protection hidden="1"/>
    </xf>
    <xf numFmtId="0" fontId="27" fillId="9" borderId="24" xfId="0" applyFont="1" applyFill="1" applyBorder="1" applyAlignment="1" applyProtection="1">
      <alignment horizontal="center" vertical="center" wrapText="1"/>
      <protection hidden="1"/>
    </xf>
    <xf numFmtId="0" fontId="27" fillId="9" borderId="13" xfId="0" applyFont="1" applyFill="1" applyBorder="1" applyAlignment="1" applyProtection="1">
      <alignment horizontal="center" vertical="center" wrapText="1"/>
      <protection hidden="1"/>
    </xf>
    <xf numFmtId="0" fontId="27" fillId="23" borderId="2" xfId="0" applyFont="1" applyFill="1" applyBorder="1" applyAlignment="1" applyProtection="1">
      <alignment horizontal="center" vertical="center" wrapText="1"/>
      <protection hidden="1"/>
    </xf>
    <xf numFmtId="0" fontId="27" fillId="23" borderId="11" xfId="0" applyFont="1" applyFill="1" applyBorder="1" applyAlignment="1" applyProtection="1">
      <alignment horizontal="center" vertical="center" wrapText="1"/>
      <protection hidden="1"/>
    </xf>
    <xf numFmtId="0" fontId="27" fillId="23" borderId="13" xfId="0" applyFont="1" applyFill="1" applyBorder="1" applyAlignment="1" applyProtection="1">
      <alignment horizontal="center" vertical="center" wrapText="1"/>
      <protection hidden="1"/>
    </xf>
    <xf numFmtId="0" fontId="26" fillId="0" borderId="11" xfId="7" applyFont="1" applyBorder="1" applyAlignment="1" applyProtection="1">
      <alignment horizontal="center" vertical="center"/>
      <protection locked="0"/>
    </xf>
    <xf numFmtId="0" fontId="26" fillId="0" borderId="24" xfId="7" applyFont="1" applyBorder="1" applyAlignment="1" applyProtection="1">
      <alignment horizontal="center" vertical="center"/>
      <protection locked="0"/>
    </xf>
    <xf numFmtId="0" fontId="26" fillId="0" borderId="13" xfId="7" applyFont="1" applyBorder="1" applyAlignment="1" applyProtection="1">
      <alignment horizontal="center" vertical="center"/>
      <protection locked="0"/>
    </xf>
    <xf numFmtId="0" fontId="26" fillId="0" borderId="11" xfId="7" applyFont="1" applyBorder="1" applyAlignment="1" applyProtection="1">
      <alignment horizontal="center" vertical="center" wrapText="1"/>
      <protection locked="0"/>
    </xf>
    <xf numFmtId="0" fontId="26" fillId="0" borderId="24" xfId="7" applyFont="1" applyBorder="1" applyAlignment="1" applyProtection="1">
      <alignment horizontal="center" vertical="center" wrapText="1"/>
      <protection locked="0"/>
    </xf>
    <xf numFmtId="0" fontId="26" fillId="0" borderId="13" xfId="7" applyFont="1" applyBorder="1" applyAlignment="1" applyProtection="1">
      <alignment horizontal="center" vertical="center" wrapText="1"/>
      <protection locked="0"/>
    </xf>
    <xf numFmtId="2" fontId="26" fillId="24" borderId="2" xfId="0" applyNumberFormat="1" applyFont="1" applyFill="1" applyBorder="1" applyAlignment="1" applyProtection="1">
      <alignment horizontal="center" vertical="center" wrapText="1"/>
      <protection hidden="1"/>
    </xf>
    <xf numFmtId="44" fontId="26" fillId="24" borderId="11" xfId="3" applyFont="1" applyFill="1" applyBorder="1" applyAlignment="1" applyProtection="1">
      <alignment horizontal="center" vertical="center" wrapText="1"/>
      <protection hidden="1"/>
    </xf>
    <xf numFmtId="44" fontId="26" fillId="24" borderId="13" xfId="3" applyFont="1" applyFill="1" applyBorder="1" applyAlignment="1" applyProtection="1">
      <alignment horizontal="center" vertical="center" wrapText="1"/>
      <protection hidden="1"/>
    </xf>
    <xf numFmtId="44" fontId="26" fillId="24" borderId="2" xfId="3" applyFont="1" applyFill="1" applyBorder="1" applyAlignment="1" applyProtection="1">
      <alignment horizontal="center" vertical="center" wrapText="1"/>
      <protection hidden="1"/>
    </xf>
    <xf numFmtId="0" fontId="47" fillId="12" borderId="2" xfId="6" applyFont="1" applyFill="1" applyBorder="1" applyAlignment="1" applyProtection="1">
      <alignment horizontal="center" vertical="center" textRotation="90"/>
      <protection hidden="1"/>
    </xf>
    <xf numFmtId="0" fontId="47" fillId="12" borderId="44" xfId="6" applyFont="1" applyFill="1" applyBorder="1" applyAlignment="1" applyProtection="1">
      <alignment horizontal="center" vertical="center"/>
      <protection hidden="1"/>
    </xf>
    <xf numFmtId="0" fontId="47" fillId="12" borderId="45" xfId="6" applyFont="1" applyFill="1" applyBorder="1" applyAlignment="1" applyProtection="1">
      <alignment horizontal="center" vertical="center"/>
      <protection hidden="1"/>
    </xf>
    <xf numFmtId="0" fontId="47" fillId="12" borderId="46" xfId="6" applyFont="1" applyFill="1" applyBorder="1" applyAlignment="1" applyProtection="1">
      <alignment horizontal="center" vertical="center"/>
      <protection hidden="1"/>
    </xf>
    <xf numFmtId="0" fontId="47" fillId="12" borderId="47" xfId="6" applyFont="1" applyFill="1" applyBorder="1" applyAlignment="1" applyProtection="1">
      <alignment horizontal="center" vertical="center"/>
      <protection hidden="1"/>
    </xf>
    <xf numFmtId="0" fontId="47" fillId="7" borderId="2" xfId="6" applyFont="1" applyFill="1" applyBorder="1" applyAlignment="1" applyProtection="1">
      <alignment horizontal="center" vertical="center" textRotation="90"/>
      <protection hidden="1"/>
    </xf>
    <xf numFmtId="0" fontId="47" fillId="7" borderId="44" xfId="6" applyFont="1" applyFill="1" applyBorder="1" applyAlignment="1" applyProtection="1">
      <alignment horizontal="center" vertical="center"/>
      <protection hidden="1"/>
    </xf>
    <xf numFmtId="0" fontId="47" fillId="7" borderId="45" xfId="6" applyFont="1" applyFill="1" applyBorder="1" applyAlignment="1" applyProtection="1">
      <alignment horizontal="center" vertical="center"/>
      <protection hidden="1"/>
    </xf>
    <xf numFmtId="0" fontId="47" fillId="7" borderId="46" xfId="6" applyFont="1" applyFill="1" applyBorder="1" applyAlignment="1" applyProtection="1">
      <alignment horizontal="center" vertical="center"/>
      <protection hidden="1"/>
    </xf>
    <xf numFmtId="0" fontId="47" fillId="7" borderId="47" xfId="6" applyFont="1" applyFill="1" applyBorder="1" applyAlignment="1" applyProtection="1">
      <alignment horizontal="center" vertical="center"/>
      <protection hidden="1"/>
    </xf>
    <xf numFmtId="0" fontId="27" fillId="9" borderId="2" xfId="0" applyFont="1" applyFill="1" applyBorder="1" applyAlignment="1" applyProtection="1">
      <alignment horizontal="center" vertical="center" wrapText="1"/>
      <protection hidden="1"/>
    </xf>
    <xf numFmtId="0" fontId="47" fillId="26" borderId="2" xfId="6" applyFont="1" applyFill="1" applyBorder="1" applyAlignment="1" applyProtection="1">
      <alignment horizontal="center" vertical="center" textRotation="90"/>
      <protection hidden="1"/>
    </xf>
    <xf numFmtId="0" fontId="47" fillId="26" borderId="44" xfId="6" applyFont="1" applyFill="1" applyBorder="1" applyAlignment="1" applyProtection="1">
      <alignment horizontal="center" vertical="center"/>
      <protection hidden="1"/>
    </xf>
    <xf numFmtId="0" fontId="47" fillId="26" borderId="45" xfId="6" applyFont="1" applyFill="1" applyBorder="1" applyAlignment="1" applyProtection="1">
      <alignment horizontal="center" vertical="center"/>
      <protection hidden="1"/>
    </xf>
    <xf numFmtId="0" fontId="47" fillId="26" borderId="46" xfId="6" applyFont="1" applyFill="1" applyBorder="1" applyAlignment="1" applyProtection="1">
      <alignment horizontal="center" vertical="center"/>
      <protection hidden="1"/>
    </xf>
    <xf numFmtId="0" fontId="47" fillId="26" borderId="47" xfId="6" applyFont="1" applyFill="1" applyBorder="1" applyAlignment="1" applyProtection="1">
      <alignment horizontal="center" vertical="center"/>
      <protection hidden="1"/>
    </xf>
    <xf numFmtId="0" fontId="34" fillId="13" borderId="38" xfId="0" applyFont="1" applyFill="1" applyBorder="1" applyAlignment="1" applyProtection="1">
      <alignment horizontal="center" vertical="center" wrapText="1"/>
      <protection hidden="1"/>
    </xf>
    <xf numFmtId="0" fontId="37" fillId="13" borderId="28" xfId="0" applyFont="1" applyFill="1" applyBorder="1" applyAlignment="1" applyProtection="1">
      <alignment vertical="center" wrapText="1"/>
      <protection hidden="1"/>
    </xf>
    <xf numFmtId="0" fontId="34" fillId="0" borderId="71" xfId="0" applyFont="1" applyBorder="1" applyAlignment="1" applyProtection="1">
      <alignment horizontal="center" vertical="center" wrapText="1"/>
      <protection hidden="1"/>
    </xf>
    <xf numFmtId="0" fontId="34" fillId="0" borderId="72" xfId="0" applyFont="1" applyBorder="1" applyAlignment="1" applyProtection="1">
      <alignment horizontal="left" vertical="center" wrapText="1"/>
      <protection hidden="1"/>
    </xf>
    <xf numFmtId="10" fontId="34" fillId="0" borderId="72" xfId="0" applyNumberFormat="1" applyFont="1" applyBorder="1" applyAlignment="1" applyProtection="1">
      <alignment horizontal="center" vertical="center" wrapText="1"/>
      <protection hidden="1"/>
    </xf>
    <xf numFmtId="0" fontId="52" fillId="0" borderId="46" xfId="8" applyFont="1" applyBorder="1" applyAlignment="1" applyProtection="1">
      <alignment horizontal="center" vertical="center" wrapText="1"/>
      <protection hidden="1"/>
    </xf>
    <xf numFmtId="0" fontId="52" fillId="0" borderId="1" xfId="8" applyFont="1" applyBorder="1" applyAlignment="1" applyProtection="1">
      <alignment horizontal="center" vertical="center" wrapText="1"/>
      <protection hidden="1"/>
    </xf>
    <xf numFmtId="0" fontId="53" fillId="0" borderId="11" xfId="8" applyFont="1" applyBorder="1" applyAlignment="1" applyProtection="1">
      <alignment horizontal="justify" vertical="center" wrapText="1"/>
      <protection hidden="1"/>
    </xf>
    <xf numFmtId="0" fontId="53" fillId="0" borderId="24" xfId="8" applyFont="1" applyBorder="1" applyAlignment="1" applyProtection="1">
      <alignment horizontal="justify" vertical="center" wrapText="1"/>
      <protection hidden="1"/>
    </xf>
    <xf numFmtId="0" fontId="53" fillId="0" borderId="13" xfId="8" applyFont="1" applyBorder="1" applyAlignment="1" applyProtection="1">
      <alignment horizontal="justify" vertical="center" wrapText="1"/>
      <protection hidden="1"/>
    </xf>
    <xf numFmtId="0" fontId="53" fillId="0" borderId="2" xfId="8" applyFont="1" applyBorder="1" applyAlignment="1" applyProtection="1">
      <alignment horizontal="justify" vertical="center" wrapText="1"/>
      <protection hidden="1"/>
    </xf>
    <xf numFmtId="0" fontId="32" fillId="0" borderId="38" xfId="0" applyFont="1" applyBorder="1" applyAlignment="1" applyProtection="1">
      <alignment horizontal="center" vertical="center" wrapText="1"/>
      <protection hidden="1"/>
    </xf>
    <xf numFmtId="0" fontId="32" fillId="0" borderId="28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4" fillId="13" borderId="64" xfId="0" applyFont="1" applyFill="1" applyBorder="1" applyAlignment="1" applyProtection="1">
      <alignment horizontal="left" vertical="center" wrapText="1"/>
      <protection hidden="1"/>
    </xf>
    <xf numFmtId="0" fontId="37" fillId="13" borderId="65" xfId="0" applyFont="1" applyFill="1" applyBorder="1" applyAlignment="1" applyProtection="1">
      <alignment horizontal="left" vertical="center" wrapText="1"/>
      <protection hidden="1"/>
    </xf>
    <xf numFmtId="0" fontId="37" fillId="13" borderId="66" xfId="0" applyFont="1" applyFill="1" applyBorder="1" applyAlignment="1" applyProtection="1">
      <alignment horizontal="left" vertical="center" wrapText="1"/>
      <protection hidden="1"/>
    </xf>
    <xf numFmtId="0" fontId="32" fillId="16" borderId="38" xfId="0" applyFont="1" applyFill="1" applyBorder="1" applyAlignment="1" applyProtection="1">
      <alignment horizontal="left" vertical="center" wrapText="1"/>
      <protection hidden="1"/>
    </xf>
    <xf numFmtId="0" fontId="37" fillId="16" borderId="28" xfId="0" applyFont="1" applyFill="1" applyBorder="1" applyAlignment="1" applyProtection="1">
      <alignment horizontal="left" vertical="center" wrapText="1"/>
      <protection hidden="1"/>
    </xf>
    <xf numFmtId="0" fontId="35" fillId="16" borderId="38" xfId="0" applyFont="1" applyFill="1" applyBorder="1" applyAlignment="1" applyProtection="1">
      <alignment horizontal="left" vertical="center" wrapText="1"/>
      <protection hidden="1"/>
    </xf>
    <xf numFmtId="0" fontId="35" fillId="16" borderId="28" xfId="0" applyFont="1" applyFill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wrapText="1"/>
      <protection hidden="1"/>
    </xf>
    <xf numFmtId="0" fontId="34" fillId="16" borderId="38" xfId="0" applyFont="1" applyFill="1" applyBorder="1" applyAlignment="1" applyProtection="1">
      <alignment horizontal="center" vertical="center" wrapText="1"/>
      <protection hidden="1"/>
    </xf>
    <xf numFmtId="0" fontId="34" fillId="16" borderId="28" xfId="0" applyFont="1" applyFill="1" applyBorder="1" applyAlignment="1" applyProtection="1">
      <alignment vertical="center" wrapText="1"/>
      <protection hidden="1"/>
    </xf>
    <xf numFmtId="0" fontId="34" fillId="16" borderId="67" xfId="0" applyFont="1" applyFill="1" applyBorder="1" applyAlignment="1" applyProtection="1">
      <alignment vertical="center" wrapText="1"/>
      <protection hidden="1"/>
    </xf>
    <xf numFmtId="0" fontId="34" fillId="0" borderId="38" xfId="0" applyFont="1" applyBorder="1" applyAlignment="1" applyProtection="1">
      <alignment horizontal="center" vertical="center" wrapText="1"/>
      <protection hidden="1"/>
    </xf>
    <xf numFmtId="0" fontId="34" fillId="0" borderId="28" xfId="0" applyFont="1" applyBorder="1" applyAlignment="1" applyProtection="1">
      <alignment vertical="center" wrapText="1"/>
      <protection hidden="1"/>
    </xf>
    <xf numFmtId="0" fontId="34" fillId="0" borderId="67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2" fillId="16" borderId="38" xfId="0" applyFont="1" applyFill="1" applyBorder="1" applyAlignment="1" applyProtection="1">
      <alignment horizontal="center" vertical="center" wrapText="1"/>
      <protection hidden="1"/>
    </xf>
    <xf numFmtId="0" fontId="37" fillId="16" borderId="28" xfId="0" applyFont="1" applyFill="1" applyBorder="1" applyAlignment="1" applyProtection="1">
      <alignment vertical="center" wrapText="1"/>
      <protection hidden="1"/>
    </xf>
    <xf numFmtId="0" fontId="34" fillId="16" borderId="38" xfId="0" applyFont="1" applyFill="1" applyBorder="1" applyAlignment="1" applyProtection="1">
      <alignment horizontal="left" vertical="center" wrapText="1"/>
      <protection hidden="1"/>
    </xf>
    <xf numFmtId="0" fontId="34" fillId="12" borderId="61" xfId="0" applyFont="1" applyFill="1" applyBorder="1" applyAlignment="1" applyProtection="1">
      <alignment horizontal="center" vertical="center" wrapText="1"/>
      <protection hidden="1"/>
    </xf>
    <xf numFmtId="0" fontId="34" fillId="12" borderId="62" xfId="0" applyFont="1" applyFill="1" applyBorder="1" applyAlignment="1" applyProtection="1">
      <alignment horizontal="center" vertical="center" wrapText="1"/>
      <protection hidden="1"/>
    </xf>
    <xf numFmtId="0" fontId="34" fillId="12" borderId="69" xfId="0" applyFont="1" applyFill="1" applyBorder="1" applyAlignment="1" applyProtection="1">
      <alignment horizontal="center" vertical="center" wrapText="1"/>
      <protection hidden="1"/>
    </xf>
    <xf numFmtId="0" fontId="3" fillId="27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 vertical="center" wrapText="1"/>
      <protection hidden="1"/>
    </xf>
    <xf numFmtId="0" fontId="34" fillId="16" borderId="41" xfId="0" applyFont="1" applyFill="1" applyBorder="1" applyAlignment="1" applyProtection="1">
      <alignment horizontal="left" vertical="center" wrapText="1"/>
      <protection hidden="1"/>
    </xf>
    <xf numFmtId="0" fontId="37" fillId="16" borderId="42" xfId="0" applyFont="1" applyFill="1" applyBorder="1" applyAlignment="1" applyProtection="1">
      <alignment horizontal="left" vertical="center" wrapText="1"/>
      <protection hidden="1"/>
    </xf>
    <xf numFmtId="0" fontId="34" fillId="0" borderId="39" xfId="0" applyFont="1" applyBorder="1" applyAlignment="1" applyProtection="1">
      <alignment vertical="center" wrapText="1"/>
      <protection hidden="1"/>
    </xf>
    <xf numFmtId="0" fontId="34" fillId="0" borderId="41" xfId="0" applyFont="1" applyBorder="1" applyAlignment="1" applyProtection="1">
      <alignment horizontal="center" vertical="center" wrapText="1"/>
      <protection hidden="1"/>
    </xf>
    <xf numFmtId="0" fontId="34" fillId="0" borderId="42" xfId="0" applyFont="1" applyBorder="1" applyAlignment="1" applyProtection="1">
      <alignment horizontal="left" vertical="center" wrapText="1"/>
      <protection hidden="1"/>
    </xf>
    <xf numFmtId="10" fontId="34" fillId="0" borderId="42" xfId="0" applyNumberFormat="1" applyFont="1" applyBorder="1" applyAlignment="1" applyProtection="1">
      <alignment horizontal="center" vertical="center" wrapText="1"/>
      <protection hidden="1"/>
    </xf>
    <xf numFmtId="0" fontId="32" fillId="0" borderId="39" xfId="0" applyFont="1" applyBorder="1" applyAlignment="1" applyProtection="1">
      <alignment vertical="center" wrapText="1"/>
      <protection hidden="1"/>
    </xf>
    <xf numFmtId="0" fontId="24" fillId="0" borderId="40" xfId="0" applyFont="1" applyBorder="1" applyAlignment="1" applyProtection="1">
      <alignment wrapText="1"/>
      <protection hidden="1"/>
    </xf>
    <xf numFmtId="0" fontId="34" fillId="16" borderId="39" xfId="0" applyFont="1" applyFill="1" applyBorder="1" applyAlignment="1" applyProtection="1">
      <alignment vertical="center" wrapText="1"/>
      <protection hidden="1"/>
    </xf>
    <xf numFmtId="0" fontId="34" fillId="25" borderId="35" xfId="0" applyFont="1" applyFill="1" applyBorder="1" applyAlignment="1" applyProtection="1">
      <alignment horizontal="center" vertical="center" wrapText="1"/>
      <protection hidden="1"/>
    </xf>
    <xf numFmtId="0" fontId="32" fillId="25" borderId="36" xfId="0" applyFont="1" applyFill="1" applyBorder="1" applyAlignment="1" applyProtection="1">
      <alignment horizontal="center" vertical="center" wrapText="1"/>
      <protection hidden="1"/>
    </xf>
    <xf numFmtId="0" fontId="32" fillId="25" borderId="37" xfId="0" applyFont="1" applyFill="1" applyBorder="1" applyAlignment="1" applyProtection="1">
      <alignment horizontal="center" vertical="center" wrapText="1"/>
      <protection hidden="1"/>
    </xf>
    <xf numFmtId="0" fontId="34" fillId="13" borderId="49" xfId="0" applyFont="1" applyFill="1" applyBorder="1" applyAlignment="1" applyProtection="1">
      <alignment horizontal="left" vertical="center" wrapText="1"/>
      <protection hidden="1"/>
    </xf>
    <xf numFmtId="0" fontId="37" fillId="13" borderId="50" xfId="0" applyFont="1" applyFill="1" applyBorder="1" applyAlignment="1" applyProtection="1">
      <alignment horizontal="left" vertical="center" wrapText="1"/>
      <protection hidden="1"/>
    </xf>
    <xf numFmtId="0" fontId="37" fillId="13" borderId="51" xfId="0" applyFont="1" applyFill="1" applyBorder="1" applyAlignment="1" applyProtection="1">
      <alignment horizontal="left" vertical="center" wrapText="1"/>
      <protection hidden="1"/>
    </xf>
    <xf numFmtId="169" fontId="49" fillId="0" borderId="52" xfId="5" applyNumberFormat="1" applyFont="1" applyBorder="1" applyAlignment="1" applyProtection="1">
      <alignment horizontal="center" vertical="center" wrapText="1"/>
      <protection hidden="1"/>
    </xf>
    <xf numFmtId="169" fontId="49" fillId="0" borderId="16" xfId="5" applyNumberFormat="1" applyFont="1" applyBorder="1" applyAlignment="1" applyProtection="1">
      <alignment horizontal="center" vertical="center" wrapText="1"/>
      <protection hidden="1"/>
    </xf>
    <xf numFmtId="0" fontId="49" fillId="0" borderId="11" xfId="5" applyFont="1" applyBorder="1" applyAlignment="1" applyProtection="1">
      <alignment horizontal="center" vertical="center"/>
      <protection hidden="1"/>
    </xf>
    <xf numFmtId="0" fontId="49" fillId="0" borderId="24" xfId="5" applyFont="1" applyBorder="1" applyAlignment="1" applyProtection="1">
      <alignment horizontal="center" vertical="center"/>
      <protection hidden="1"/>
    </xf>
    <xf numFmtId="0" fontId="49" fillId="0" borderId="13" xfId="5" applyFont="1" applyBorder="1" applyAlignment="1" applyProtection="1">
      <alignment horizontal="center" vertical="center"/>
      <protection hidden="1"/>
    </xf>
    <xf numFmtId="0" fontId="49" fillId="0" borderId="2" xfId="5" applyFont="1" applyBorder="1" applyAlignment="1" applyProtection="1">
      <alignment horizontal="left" vertical="center"/>
      <protection hidden="1"/>
    </xf>
    <xf numFmtId="0" fontId="49" fillId="0" borderId="11" xfId="5" applyFont="1" applyBorder="1" applyAlignment="1" applyProtection="1">
      <alignment horizontal="left" vertical="center"/>
      <protection hidden="1"/>
    </xf>
    <xf numFmtId="0" fontId="49" fillId="0" borderId="24" xfId="5" applyFont="1" applyBorder="1" applyAlignment="1" applyProtection="1">
      <alignment horizontal="left" vertical="center"/>
      <protection hidden="1"/>
    </xf>
    <xf numFmtId="0" fontId="49" fillId="0" borderId="13" xfId="5" applyFont="1" applyBorder="1" applyAlignment="1" applyProtection="1">
      <alignment horizontal="left" vertical="center"/>
      <protection hidden="1"/>
    </xf>
    <xf numFmtId="0" fontId="50" fillId="3" borderId="2" xfId="5" applyFont="1" applyFill="1" applyBorder="1" applyAlignment="1" applyProtection="1">
      <alignment horizontal="center" vertical="center" wrapText="1"/>
      <protection hidden="1"/>
    </xf>
    <xf numFmtId="0" fontId="50" fillId="3" borderId="16" xfId="5" applyFont="1" applyFill="1" applyBorder="1" applyAlignment="1" applyProtection="1">
      <alignment horizontal="center" vertical="center" wrapText="1"/>
      <protection hidden="1"/>
    </xf>
    <xf numFmtId="10" fontId="50" fillId="0" borderId="55" xfId="5" applyNumberFormat="1" applyFont="1" applyBorder="1" applyAlignment="1" applyProtection="1">
      <alignment horizontal="center" vertical="center" wrapText="1"/>
      <protection hidden="1"/>
    </xf>
    <xf numFmtId="44" fontId="49" fillId="0" borderId="2" xfId="5" applyNumberFormat="1" applyFont="1" applyBorder="1" applyAlignment="1" applyProtection="1">
      <alignment horizontal="center" vertical="center" wrapText="1"/>
      <protection hidden="1"/>
    </xf>
    <xf numFmtId="0" fontId="50" fillId="5" borderId="11" xfId="5" applyFont="1" applyFill="1" applyBorder="1" applyAlignment="1" applyProtection="1">
      <alignment horizontal="center" vertical="center" wrapText="1"/>
      <protection hidden="1"/>
    </xf>
    <xf numFmtId="0" fontId="50" fillId="5" borderId="24" xfId="5" applyFont="1" applyFill="1" applyBorder="1" applyAlignment="1" applyProtection="1">
      <alignment horizontal="center" vertical="center" wrapText="1"/>
      <protection hidden="1"/>
    </xf>
    <xf numFmtId="0" fontId="54" fillId="5" borderId="11" xfId="5" applyFont="1" applyFill="1" applyBorder="1" applyAlignment="1" applyProtection="1">
      <alignment horizontal="center" vertical="center"/>
      <protection hidden="1"/>
    </xf>
    <xf numFmtId="0" fontId="54" fillId="5" borderId="24" xfId="5" applyFont="1" applyFill="1" applyBorder="1" applyAlignment="1" applyProtection="1">
      <alignment horizontal="center" vertical="center"/>
      <protection hidden="1"/>
    </xf>
    <xf numFmtId="0" fontId="50" fillId="9" borderId="11" xfId="5" applyFont="1" applyFill="1" applyBorder="1" applyAlignment="1" applyProtection="1">
      <alignment horizontal="center" vertical="center" wrapText="1"/>
      <protection hidden="1"/>
    </xf>
    <xf numFmtId="0" fontId="50" fillId="9" borderId="24" xfId="5" applyFont="1" applyFill="1" applyBorder="1" applyAlignment="1" applyProtection="1">
      <alignment horizontal="center" vertical="center" wrapText="1"/>
      <protection hidden="1"/>
    </xf>
    <xf numFmtId="0" fontId="50" fillId="9" borderId="13" xfId="5" applyFont="1" applyFill="1" applyBorder="1" applyAlignment="1" applyProtection="1">
      <alignment horizontal="center" vertical="center" wrapText="1"/>
      <protection hidden="1"/>
    </xf>
    <xf numFmtId="0" fontId="50" fillId="13" borderId="2" xfId="5" applyFont="1" applyFill="1" applyBorder="1" applyAlignment="1" applyProtection="1">
      <alignment horizontal="center" vertical="center" wrapText="1"/>
      <protection hidden="1"/>
    </xf>
    <xf numFmtId="0" fontId="49" fillId="13" borderId="2" xfId="5" applyFont="1" applyFill="1" applyBorder="1" applyAlignment="1" applyProtection="1">
      <alignment horizontal="center" vertical="center" wrapText="1"/>
      <protection hidden="1"/>
    </xf>
    <xf numFmtId="0" fontId="50" fillId="13" borderId="10" xfId="5" applyFont="1" applyFill="1" applyBorder="1" applyAlignment="1" applyProtection="1">
      <alignment horizontal="center" vertical="center" wrapText="1"/>
      <protection hidden="1"/>
    </xf>
    <xf numFmtId="0" fontId="50" fillId="13" borderId="55" xfId="5" applyFont="1" applyFill="1" applyBorder="1" applyAlignment="1" applyProtection="1">
      <alignment horizontal="center" vertical="center" wrapText="1"/>
      <protection hidden="1"/>
    </xf>
    <xf numFmtId="0" fontId="50" fillId="13" borderId="52" xfId="5" applyFont="1" applyFill="1" applyBorder="1" applyAlignment="1" applyProtection="1">
      <alignment horizontal="center" vertical="center" wrapText="1"/>
      <protection hidden="1"/>
    </xf>
    <xf numFmtId="0" fontId="50" fillId="13" borderId="45" xfId="5" applyFont="1" applyFill="1" applyBorder="1" applyAlignment="1" applyProtection="1">
      <alignment horizontal="center" vertical="center" wrapText="1"/>
      <protection hidden="1"/>
    </xf>
    <xf numFmtId="0" fontId="50" fillId="13" borderId="47" xfId="5" applyFont="1" applyFill="1" applyBorder="1" applyAlignment="1" applyProtection="1">
      <alignment horizontal="center" vertical="center" wrapText="1"/>
      <protection hidden="1"/>
    </xf>
    <xf numFmtId="0" fontId="50" fillId="0" borderId="11" xfId="5" applyFont="1" applyBorder="1" applyAlignment="1" applyProtection="1">
      <alignment horizontal="center" vertical="center"/>
      <protection hidden="1"/>
    </xf>
    <xf numFmtId="0" fontId="50" fillId="0" borderId="24" xfId="5" applyFont="1" applyBorder="1" applyAlignment="1" applyProtection="1">
      <alignment horizontal="center" vertical="center"/>
      <protection hidden="1"/>
    </xf>
    <xf numFmtId="0" fontId="50" fillId="0" borderId="17" xfId="5" applyFont="1" applyBorder="1" applyAlignment="1" applyProtection="1">
      <alignment horizontal="center" vertical="center"/>
      <protection hidden="1"/>
    </xf>
    <xf numFmtId="0" fontId="50" fillId="0" borderId="45" xfId="5" applyFont="1" applyBorder="1" applyAlignment="1" applyProtection="1">
      <alignment horizontal="center" vertical="center"/>
      <protection hidden="1"/>
    </xf>
    <xf numFmtId="0" fontId="50" fillId="3" borderId="11" xfId="5" applyFont="1" applyFill="1" applyBorder="1" applyAlignment="1" applyProtection="1">
      <alignment horizontal="center" vertical="center" wrapText="1"/>
      <protection hidden="1"/>
    </xf>
    <xf numFmtId="0" fontId="50" fillId="3" borderId="24" xfId="5" applyFont="1" applyFill="1" applyBorder="1" applyAlignment="1" applyProtection="1">
      <alignment horizontal="center" vertical="center" wrapText="1"/>
      <protection hidden="1"/>
    </xf>
    <xf numFmtId="169" fontId="49" fillId="0" borderId="57" xfId="5" applyNumberFormat="1" applyFont="1" applyBorder="1" applyAlignment="1" applyProtection="1">
      <alignment horizontal="center" vertical="center" wrapText="1"/>
      <protection hidden="1"/>
    </xf>
    <xf numFmtId="169" fontId="49" fillId="0" borderId="59" xfId="5" applyNumberFormat="1" applyFont="1" applyBorder="1" applyAlignment="1" applyProtection="1">
      <alignment horizontal="center" vertical="center" wrapText="1"/>
      <protection hidden="1"/>
    </xf>
    <xf numFmtId="0" fontId="50" fillId="5" borderId="44" xfId="5" applyFont="1" applyFill="1" applyBorder="1" applyAlignment="1" applyProtection="1">
      <alignment horizontal="center" vertical="center" wrapText="1"/>
      <protection hidden="1"/>
    </xf>
    <xf numFmtId="0" fontId="50" fillId="5" borderId="17" xfId="5" applyFont="1" applyFill="1" applyBorder="1" applyAlignment="1" applyProtection="1">
      <alignment horizontal="center" vertical="center" wrapText="1"/>
      <protection hidden="1"/>
    </xf>
    <xf numFmtId="0" fontId="50" fillId="0" borderId="56" xfId="5" applyFont="1" applyBorder="1" applyAlignment="1" applyProtection="1">
      <alignment horizontal="center" vertical="center"/>
      <protection hidden="1"/>
    </xf>
    <xf numFmtId="0" fontId="50" fillId="0" borderId="33" xfId="5" applyFont="1" applyBorder="1" applyAlignment="1" applyProtection="1">
      <alignment horizontal="center" vertical="center"/>
      <protection hidden="1"/>
    </xf>
    <xf numFmtId="0" fontId="50" fillId="0" borderId="58" xfId="5" applyFont="1" applyBorder="1" applyAlignment="1" applyProtection="1">
      <alignment horizontal="center" vertical="center"/>
      <protection hidden="1"/>
    </xf>
    <xf numFmtId="0" fontId="50" fillId="0" borderId="46" xfId="5" applyFont="1" applyBorder="1" applyAlignment="1" applyProtection="1">
      <alignment horizontal="center" vertical="center"/>
      <protection hidden="1"/>
    </xf>
    <xf numFmtId="0" fontId="50" fillId="0" borderId="1" xfId="5" applyFont="1" applyBorder="1" applyAlignment="1" applyProtection="1">
      <alignment horizontal="center" vertical="center"/>
      <protection hidden="1"/>
    </xf>
    <xf numFmtId="0" fontId="50" fillId="0" borderId="47" xfId="5" applyFont="1" applyBorder="1" applyAlignment="1" applyProtection="1">
      <alignment horizontal="center" vertical="center"/>
      <protection hidden="1"/>
    </xf>
    <xf numFmtId="165" fontId="4" fillId="0" borderId="11" xfId="1" applyNumberFormat="1" applyFont="1" applyBorder="1" applyAlignment="1">
      <alignment horizontal="justify" vertical="center"/>
    </xf>
    <xf numFmtId="165" fontId="4" fillId="0" borderId="24" xfId="1" applyNumberFormat="1" applyFont="1" applyBorder="1" applyAlignment="1">
      <alignment horizontal="justify" vertical="center"/>
    </xf>
    <xf numFmtId="165" fontId="4" fillId="0" borderId="13" xfId="1" applyNumberFormat="1" applyFont="1" applyBorder="1" applyAlignment="1">
      <alignment horizontal="justify" vertical="center"/>
    </xf>
    <xf numFmtId="165" fontId="4" fillId="0" borderId="11" xfId="1" applyNumberFormat="1" applyFont="1" applyBorder="1" applyAlignment="1">
      <alignment horizontal="justify" vertical="center" wrapText="1"/>
    </xf>
    <xf numFmtId="165" fontId="4" fillId="0" borderId="24" xfId="1" applyNumberFormat="1" applyFont="1" applyBorder="1" applyAlignment="1">
      <alignment horizontal="justify" vertical="center" wrapText="1"/>
    </xf>
    <xf numFmtId="165" fontId="4" fillId="0" borderId="13" xfId="1" applyNumberFormat="1" applyFont="1" applyBorder="1" applyAlignment="1">
      <alignment horizontal="justify" vertical="center" wrapText="1"/>
    </xf>
    <xf numFmtId="0" fontId="3" fillId="6" borderId="24" xfId="1" applyFont="1" applyFill="1" applyBorder="1" applyAlignment="1">
      <alignment horizontal="right" vertical="center"/>
    </xf>
    <xf numFmtId="0" fontId="3" fillId="6" borderId="13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165" fontId="3" fillId="5" borderId="10" xfId="1" applyNumberFormat="1" applyFont="1" applyFill="1" applyBorder="1" applyAlignment="1">
      <alignment horizontal="center" vertical="center"/>
    </xf>
    <xf numFmtId="165" fontId="3" fillId="5" borderId="16" xfId="1" applyNumberFormat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10" fillId="3" borderId="20" xfId="1" applyFont="1" applyFill="1" applyBorder="1" applyAlignment="1">
      <alignment horizontal="center" vertical="center"/>
    </xf>
    <xf numFmtId="0" fontId="10" fillId="3" borderId="21" xfId="1" applyFont="1" applyFill="1" applyBorder="1" applyAlignment="1">
      <alignment horizontal="center" vertical="center"/>
    </xf>
    <xf numFmtId="0" fontId="3" fillId="5" borderId="24" xfId="1" applyFont="1" applyFill="1" applyBorder="1" applyAlignment="1">
      <alignment horizontal="right" vertical="center"/>
    </xf>
    <xf numFmtId="0" fontId="3" fillId="5" borderId="13" xfId="1" applyFont="1" applyFill="1" applyBorder="1" applyAlignment="1">
      <alignment horizontal="right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</cellXfs>
  <cellStyles count="10">
    <cellStyle name="Moeda 2" xfId="3"/>
    <cellStyle name="Moeda 2 2" xfId="9"/>
    <cellStyle name="Normal" xfId="0" builtinId="0"/>
    <cellStyle name="Normal 12" xfId="4"/>
    <cellStyle name="Normal 2 2 2 2" xfId="6"/>
    <cellStyle name="Normal 2 5" xfId="2"/>
    <cellStyle name="Normal 2 6" xfId="7"/>
    <cellStyle name="Normal 3" xfId="5"/>
    <cellStyle name="Normal 6 4" xfId="1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ntt.gov.br/index.php/content/view/4906/Espaco_do_Passageiro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7"/>
  <sheetViews>
    <sheetView workbookViewId="0">
      <selection activeCell="F22" sqref="F22"/>
    </sheetView>
  </sheetViews>
  <sheetFormatPr defaultColWidth="8.85546875" defaultRowHeight="18" x14ac:dyDescent="0.25"/>
  <cols>
    <col min="1" max="1" width="8.85546875" style="57"/>
    <col min="2" max="2" width="7.42578125" style="57" customWidth="1"/>
    <col min="3" max="3" width="56.5703125" style="57" customWidth="1"/>
    <col min="4" max="4" width="16.140625" style="57" customWidth="1"/>
    <col min="5" max="5" width="19.28515625" style="57" customWidth="1"/>
    <col min="6" max="6" width="18.28515625" style="57" customWidth="1"/>
    <col min="7" max="7" width="17.28515625" style="57" customWidth="1"/>
    <col min="8" max="8" width="9.42578125" style="57" customWidth="1"/>
    <col min="9" max="16384" width="8.85546875" style="57"/>
  </cols>
  <sheetData>
    <row r="2" spans="3:8" ht="27" customHeight="1" x14ac:dyDescent="0.25">
      <c r="C2" s="434" t="s">
        <v>54</v>
      </c>
      <c r="D2" s="435"/>
      <c r="E2" s="435"/>
      <c r="F2" s="435"/>
      <c r="G2" s="435"/>
      <c r="H2" s="436"/>
    </row>
    <row r="3" spans="3:8" x14ac:dyDescent="0.25">
      <c r="C3" s="437" t="s">
        <v>55</v>
      </c>
      <c r="D3" s="437" t="s">
        <v>56</v>
      </c>
      <c r="E3" s="437"/>
      <c r="F3" s="437"/>
      <c r="G3" s="437"/>
      <c r="H3" s="437"/>
    </row>
    <row r="4" spans="3:8" x14ac:dyDescent="0.25">
      <c r="C4" s="437"/>
      <c r="D4" s="58" t="s">
        <v>57</v>
      </c>
      <c r="E4" s="58" t="s">
        <v>58</v>
      </c>
      <c r="F4" s="58" t="s">
        <v>59</v>
      </c>
      <c r="G4" s="58" t="s">
        <v>60</v>
      </c>
      <c r="H4" s="58" t="s">
        <v>61</v>
      </c>
    </row>
    <row r="5" spans="3:8" x14ac:dyDescent="0.25">
      <c r="C5" s="59" t="s">
        <v>62</v>
      </c>
      <c r="D5" s="60">
        <v>5207</v>
      </c>
      <c r="E5" s="60">
        <v>8023</v>
      </c>
      <c r="F5" s="60">
        <v>878</v>
      </c>
      <c r="G5" s="60">
        <v>1760</v>
      </c>
      <c r="H5" s="61">
        <f>SUM(D5:G5)</f>
        <v>15868</v>
      </c>
    </row>
    <row r="6" spans="3:8" ht="22.5" customHeight="1" x14ac:dyDescent="0.25">
      <c r="C6" s="59" t="s">
        <v>63</v>
      </c>
      <c r="D6" s="60">
        <v>2990</v>
      </c>
      <c r="E6" s="60">
        <v>3600</v>
      </c>
      <c r="F6" s="60">
        <v>350</v>
      </c>
      <c r="G6" s="60">
        <v>1570</v>
      </c>
      <c r="H6" s="61">
        <f>SUM(D6:G6)</f>
        <v>8510</v>
      </c>
    </row>
    <row r="7" spans="3:8" x14ac:dyDescent="0.25">
      <c r="C7" s="59" t="s">
        <v>64</v>
      </c>
      <c r="D7" s="60">
        <f>38*20</f>
        <v>760</v>
      </c>
      <c r="E7" s="60">
        <f>(24+28)*10</f>
        <v>520</v>
      </c>
      <c r="F7" s="60">
        <f>6*8</f>
        <v>48</v>
      </c>
      <c r="G7" s="60">
        <f>2*15+4*10</f>
        <v>70</v>
      </c>
      <c r="H7" s="61">
        <f>SUM(D7:G7)</f>
        <v>1398</v>
      </c>
    </row>
    <row r="8" spans="3:8" x14ac:dyDescent="0.25">
      <c r="C8" s="59" t="s">
        <v>65</v>
      </c>
      <c r="D8" s="60">
        <v>200</v>
      </c>
      <c r="E8" s="60">
        <v>520</v>
      </c>
      <c r="F8" s="60">
        <v>50</v>
      </c>
      <c r="G8" s="60">
        <v>55</v>
      </c>
      <c r="H8" s="61">
        <f>SUM(D8:G8)</f>
        <v>825</v>
      </c>
    </row>
    <row r="9" spans="3:8" x14ac:dyDescent="0.25">
      <c r="C9" s="438" t="s">
        <v>66</v>
      </c>
      <c r="D9" s="439"/>
      <c r="E9" s="439"/>
      <c r="F9" s="439"/>
      <c r="G9" s="439"/>
      <c r="H9" s="440"/>
    </row>
    <row r="10" spans="3:8" x14ac:dyDescent="0.25">
      <c r="C10" s="62"/>
    </row>
    <row r="11" spans="3:8" x14ac:dyDescent="0.25">
      <c r="C11" s="62"/>
    </row>
    <row r="12" spans="3:8" x14ac:dyDescent="0.25">
      <c r="C12" s="432" t="s">
        <v>67</v>
      </c>
      <c r="D12" s="441"/>
      <c r="E12" s="441"/>
      <c r="F12" s="433"/>
      <c r="G12" s="63"/>
    </row>
    <row r="13" spans="3:8" x14ac:dyDescent="0.25">
      <c r="C13" s="426" t="s">
        <v>68</v>
      </c>
      <c r="D13" s="427"/>
      <c r="E13" s="427"/>
      <c r="F13" s="428"/>
      <c r="G13" s="64"/>
    </row>
    <row r="14" spans="3:8" ht="55.5" customHeight="1" x14ac:dyDescent="0.25">
      <c r="C14" s="65" t="s">
        <v>55</v>
      </c>
      <c r="D14" s="66" t="s">
        <v>69</v>
      </c>
      <c r="E14" s="66" t="s">
        <v>70</v>
      </c>
      <c r="F14" s="66" t="s">
        <v>71</v>
      </c>
    </row>
    <row r="15" spans="3:8" x14ac:dyDescent="0.25">
      <c r="C15" s="67" t="s">
        <v>72</v>
      </c>
      <c r="D15" s="68">
        <f>H5</f>
        <v>15868</v>
      </c>
      <c r="E15" s="68">
        <f>H6</f>
        <v>8510</v>
      </c>
      <c r="F15" s="68">
        <f>H7</f>
        <v>1398</v>
      </c>
    </row>
    <row r="16" spans="3:8" ht="21" customHeight="1" x14ac:dyDescent="0.25">
      <c r="C16" s="67" t="s">
        <v>73</v>
      </c>
      <c r="D16" s="69">
        <v>600</v>
      </c>
      <c r="E16" s="69">
        <v>1200</v>
      </c>
      <c r="F16" s="69">
        <v>330</v>
      </c>
    </row>
    <row r="17" spans="3:6" ht="21" customHeight="1" x14ac:dyDescent="0.25">
      <c r="C17" s="67" t="s">
        <v>74</v>
      </c>
      <c r="D17" s="68">
        <f>TRUNC(D15/D16,0)</f>
        <v>26</v>
      </c>
      <c r="E17" s="68">
        <f>TRUNC(E15/E16,0)</f>
        <v>7</v>
      </c>
      <c r="F17" s="68">
        <f>TRUNC(F15/F16,0)</f>
        <v>4</v>
      </c>
    </row>
    <row r="18" spans="3:6" ht="19.5" customHeight="1" x14ac:dyDescent="0.25">
      <c r="C18" s="429" t="s">
        <v>75</v>
      </c>
      <c r="D18" s="430"/>
      <c r="E18" s="430"/>
      <c r="F18" s="431"/>
    </row>
    <row r="20" spans="3:6" hidden="1" x14ac:dyDescent="0.25"/>
    <row r="21" spans="3:6" x14ac:dyDescent="0.25">
      <c r="C21" s="432" t="s">
        <v>76</v>
      </c>
      <c r="D21" s="433"/>
    </row>
    <row r="22" spans="3:6" ht="36" customHeight="1" x14ac:dyDescent="0.25">
      <c r="C22" s="70" t="s">
        <v>77</v>
      </c>
      <c r="D22" s="70" t="s">
        <v>56</v>
      </c>
    </row>
    <row r="23" spans="3:6" ht="20.25" customHeight="1" x14ac:dyDescent="0.25">
      <c r="C23" s="71" t="s">
        <v>78</v>
      </c>
      <c r="D23" s="72">
        <f>SUM(D17:F17)</f>
        <v>37</v>
      </c>
    </row>
    <row r="24" spans="3:6" ht="20.25" customHeight="1" x14ac:dyDescent="0.25">
      <c r="C24" s="71" t="s">
        <v>79</v>
      </c>
      <c r="D24" s="72">
        <f>TRUNC(D23/30,0)</f>
        <v>1</v>
      </c>
    </row>
    <row r="25" spans="3:6" x14ac:dyDescent="0.25">
      <c r="C25" s="70" t="s">
        <v>80</v>
      </c>
      <c r="D25" s="73">
        <f>SUM(D23:D24)</f>
        <v>38</v>
      </c>
    </row>
    <row r="26" spans="3:6" ht="18" customHeight="1" x14ac:dyDescent="0.25">
      <c r="C26" s="422" t="s">
        <v>81</v>
      </c>
      <c r="D26" s="423"/>
    </row>
    <row r="27" spans="3:6" x14ac:dyDescent="0.25">
      <c r="C27" s="424"/>
      <c r="D27" s="425"/>
    </row>
  </sheetData>
  <mergeCells count="9">
    <mergeCell ref="C26:D27"/>
    <mergeCell ref="C13:F13"/>
    <mergeCell ref="C18:F18"/>
    <mergeCell ref="C21:D21"/>
    <mergeCell ref="C2:H2"/>
    <mergeCell ref="C3:C4"/>
    <mergeCell ref="D3:H3"/>
    <mergeCell ref="C9:H9"/>
    <mergeCell ref="C12:F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E8"/>
  <sheetViews>
    <sheetView workbookViewId="0">
      <selection activeCell="O15" sqref="O15"/>
    </sheetView>
  </sheetViews>
  <sheetFormatPr defaultRowHeight="15" x14ac:dyDescent="0.25"/>
  <cols>
    <col min="1" max="1" width="17.42578125" customWidth="1"/>
    <col min="3" max="3" width="12.85546875" customWidth="1"/>
    <col min="4" max="4" width="13.85546875" customWidth="1"/>
    <col min="5" max="5" width="14.7109375" customWidth="1"/>
  </cols>
  <sheetData>
    <row r="2" spans="1:5" ht="38.25" customHeight="1" x14ac:dyDescent="0.25">
      <c r="A2" s="364" t="s">
        <v>341</v>
      </c>
      <c r="B2" s="365" t="s">
        <v>342</v>
      </c>
      <c r="C2" s="365" t="s">
        <v>273</v>
      </c>
      <c r="D2" s="365" t="s">
        <v>343</v>
      </c>
      <c r="E2" s="365" t="s">
        <v>348</v>
      </c>
    </row>
    <row r="3" spans="1:5" ht="32.25" customHeight="1" x14ac:dyDescent="0.25">
      <c r="A3" s="360" t="s">
        <v>311</v>
      </c>
      <c r="B3" s="363">
        <f>RESUMO_Preços!E7</f>
        <v>2</v>
      </c>
      <c r="C3" s="362">
        <f>RESUMO_Preços!F7</f>
        <v>0</v>
      </c>
      <c r="D3" s="362">
        <f>RESUMO_Preços!G7</f>
        <v>0</v>
      </c>
      <c r="E3" s="362">
        <f>D3*12</f>
        <v>0</v>
      </c>
    </row>
    <row r="4" spans="1:5" ht="38.25" customHeight="1" x14ac:dyDescent="0.25">
      <c r="A4" s="360" t="s">
        <v>310</v>
      </c>
      <c r="B4" s="359">
        <f>RESUMO_Preços!E6</f>
        <v>4</v>
      </c>
      <c r="C4" s="362">
        <f>RESUMO_Preços!F6</f>
        <v>0</v>
      </c>
      <c r="D4" s="362">
        <f>RESUMO_Preços!G6</f>
        <v>0</v>
      </c>
      <c r="E4" s="362">
        <f t="shared" ref="E4:E5" si="0">D4*12</f>
        <v>0</v>
      </c>
    </row>
    <row r="5" spans="1:5" ht="39.75" customHeight="1" x14ac:dyDescent="0.25">
      <c r="A5" s="360" t="s">
        <v>315</v>
      </c>
      <c r="B5" s="363">
        <f>RESUMO_Preços!E8</f>
        <v>1</v>
      </c>
      <c r="C5" s="362">
        <f>RESUMO_Preços!F8</f>
        <v>0</v>
      </c>
      <c r="D5" s="362">
        <f>RESUMO_Preços!G8</f>
        <v>0</v>
      </c>
      <c r="E5" s="362">
        <f t="shared" si="0"/>
        <v>0</v>
      </c>
    </row>
    <row r="6" spans="1:5" ht="36" customHeight="1" x14ac:dyDescent="0.25">
      <c r="A6" s="366" t="s">
        <v>344</v>
      </c>
      <c r="B6" s="371">
        <f>SUM(B3:B5)</f>
        <v>7</v>
      </c>
      <c r="C6" s="367">
        <f>SUM(C3:C5)</f>
        <v>0</v>
      </c>
      <c r="D6" s="367">
        <f>SUM(D3:D5)</f>
        <v>0</v>
      </c>
      <c r="E6" s="367">
        <f>SUM(E3:E5)</f>
        <v>0</v>
      </c>
    </row>
    <row r="7" spans="1:5" ht="40.5" customHeight="1" x14ac:dyDescent="0.25">
      <c r="A7" s="361" t="s">
        <v>345</v>
      </c>
      <c r="B7" s="370" t="s">
        <v>347</v>
      </c>
      <c r="C7" s="369"/>
      <c r="D7" s="362">
        <f>E7/12</f>
        <v>1860.2700000000002</v>
      </c>
      <c r="E7" s="362">
        <v>22323.24</v>
      </c>
    </row>
    <row r="8" spans="1:5" ht="40.5" customHeight="1" x14ac:dyDescent="0.25">
      <c r="A8" s="368" t="s">
        <v>346</v>
      </c>
      <c r="B8" s="364" t="s">
        <v>347</v>
      </c>
      <c r="C8" s="367">
        <f>C6+C7</f>
        <v>0</v>
      </c>
      <c r="D8" s="367">
        <f t="shared" ref="D8:E8" si="1">D6+D7</f>
        <v>1860.2700000000002</v>
      </c>
      <c r="E8" s="367">
        <f t="shared" si="1"/>
        <v>22323.24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AD24"/>
  <sheetViews>
    <sheetView showGridLines="0" topLeftCell="P1" zoomScale="80" zoomScaleNormal="80" workbookViewId="0">
      <selection activeCell="AC13" sqref="AC13"/>
    </sheetView>
  </sheetViews>
  <sheetFormatPr defaultColWidth="9.140625" defaultRowHeight="18" x14ac:dyDescent="0.25"/>
  <cols>
    <col min="1" max="2" width="9.140625" style="48"/>
    <col min="3" max="3" width="4.28515625" style="48" customWidth="1"/>
    <col min="4" max="4" width="28.5703125" style="48" customWidth="1"/>
    <col min="5" max="5" width="32" style="2" customWidth="1"/>
    <col min="6" max="6" width="9.140625" style="3"/>
    <col min="7" max="7" width="10.140625" style="4" customWidth="1"/>
    <col min="8" max="8" width="22" style="5" customWidth="1"/>
    <col min="9" max="9" width="22.140625" style="3" customWidth="1"/>
    <col min="10" max="10" width="23.85546875" style="5" customWidth="1"/>
    <col min="11" max="11" width="23.28515625" style="5" customWidth="1"/>
    <col min="12" max="12" width="18" style="3" customWidth="1"/>
    <col min="13" max="13" width="21" style="3" customWidth="1"/>
    <col min="14" max="14" width="21.28515625" style="3" customWidth="1"/>
    <col min="15" max="15" width="13.5703125" style="6" customWidth="1"/>
    <col min="16" max="16" width="18.28515625" style="3" customWidth="1"/>
    <col min="17" max="17" width="9.28515625" style="3" customWidth="1"/>
    <col min="18" max="18" width="13.42578125" style="3" customWidth="1"/>
    <col min="19" max="19" width="24.5703125" style="5" customWidth="1"/>
    <col min="20" max="20" width="26.5703125" style="3" customWidth="1"/>
    <col min="21" max="22" width="23.7109375" style="5" customWidth="1"/>
    <col min="23" max="24" width="21.85546875" style="5" customWidth="1"/>
    <col min="25" max="25" width="25.7109375" style="5" customWidth="1"/>
    <col min="26" max="26" width="15.42578125" style="3" customWidth="1"/>
    <col min="27" max="30" width="9.140625" style="3"/>
    <col min="31" max="16384" width="9.140625" style="48"/>
  </cols>
  <sheetData>
    <row r="2" spans="2:26" ht="18.75" thickBot="1" x14ac:dyDescent="0.3">
      <c r="B2" s="1"/>
      <c r="C2" s="1"/>
      <c r="D2" s="1"/>
    </row>
    <row r="3" spans="2:26" ht="18" customHeight="1" x14ac:dyDescent="0.25">
      <c r="B3" s="613" t="s">
        <v>0</v>
      </c>
      <c r="C3" s="613"/>
      <c r="D3" s="613"/>
      <c r="E3" s="7"/>
      <c r="F3" s="614" t="s">
        <v>1</v>
      </c>
      <c r="G3" s="615"/>
      <c r="H3" s="616"/>
      <c r="I3" s="8" t="s">
        <v>2</v>
      </c>
      <c r="Q3" s="617" t="s">
        <v>1</v>
      </c>
      <c r="R3" s="618"/>
      <c r="S3" s="618"/>
      <c r="T3" s="9" t="s">
        <v>3</v>
      </c>
    </row>
    <row r="4" spans="2:26" s="3" customFormat="1" x14ac:dyDescent="0.25">
      <c r="B4" s="613"/>
      <c r="C4" s="613"/>
      <c r="D4" s="613"/>
      <c r="E4" s="7"/>
      <c r="F4" s="619" t="s">
        <v>4</v>
      </c>
      <c r="G4" s="621" t="s">
        <v>5</v>
      </c>
      <c r="H4" s="10" t="s">
        <v>6</v>
      </c>
      <c r="I4" s="11" t="s">
        <v>7</v>
      </c>
      <c r="J4" s="12" t="s">
        <v>8</v>
      </c>
      <c r="K4" s="13" t="s">
        <v>9</v>
      </c>
      <c r="L4" s="14" t="s">
        <v>10</v>
      </c>
      <c r="M4" s="14" t="s">
        <v>11</v>
      </c>
      <c r="N4" s="15" t="s">
        <v>12</v>
      </c>
      <c r="O4" s="16" t="s">
        <v>13</v>
      </c>
      <c r="Q4" s="623" t="s">
        <v>4</v>
      </c>
      <c r="R4" s="624" t="s">
        <v>5</v>
      </c>
      <c r="S4" s="14" t="s">
        <v>6</v>
      </c>
      <c r="T4" s="17" t="s">
        <v>7</v>
      </c>
      <c r="U4" s="12" t="s">
        <v>8</v>
      </c>
      <c r="V4" s="13" t="s">
        <v>9</v>
      </c>
      <c r="W4" s="14" t="s">
        <v>10</v>
      </c>
      <c r="X4" s="14" t="s">
        <v>11</v>
      </c>
      <c r="Y4" s="15" t="s">
        <v>12</v>
      </c>
      <c r="Z4" s="16" t="s">
        <v>13</v>
      </c>
    </row>
    <row r="5" spans="2:26" s="3" customFormat="1" ht="83.25" customHeight="1" x14ac:dyDescent="0.25">
      <c r="B5" s="625" t="s">
        <v>14</v>
      </c>
      <c r="C5" s="625"/>
      <c r="D5" s="18" t="s">
        <v>15</v>
      </c>
      <c r="E5" s="19" t="s">
        <v>16</v>
      </c>
      <c r="F5" s="620"/>
      <c r="G5" s="622"/>
      <c r="H5" s="20" t="s">
        <v>17</v>
      </c>
      <c r="I5" s="21" t="s">
        <v>18</v>
      </c>
      <c r="J5" s="22" t="s">
        <v>19</v>
      </c>
      <c r="K5" s="23" t="s">
        <v>51</v>
      </c>
      <c r="L5" s="23" t="s">
        <v>20</v>
      </c>
      <c r="M5" s="24" t="s">
        <v>21</v>
      </c>
      <c r="N5" s="24" t="s">
        <v>22</v>
      </c>
      <c r="O5" s="25" t="s">
        <v>23</v>
      </c>
      <c r="Q5" s="623"/>
      <c r="R5" s="624"/>
      <c r="S5" s="26" t="s">
        <v>17</v>
      </c>
      <c r="T5" s="21" t="s">
        <v>24</v>
      </c>
      <c r="U5" s="22" t="s">
        <v>19</v>
      </c>
      <c r="V5" s="23" t="s">
        <v>52</v>
      </c>
      <c r="W5" s="23" t="s">
        <v>20</v>
      </c>
      <c r="X5" s="24" t="s">
        <v>21</v>
      </c>
      <c r="Y5" s="24" t="s">
        <v>25</v>
      </c>
      <c r="Z5" s="25" t="s">
        <v>26</v>
      </c>
    </row>
    <row r="6" spans="2:26" s="3" customFormat="1" ht="33" customHeight="1" x14ac:dyDescent="0.25">
      <c r="B6" s="626" t="s">
        <v>27</v>
      </c>
      <c r="C6" s="626"/>
      <c r="D6" s="14" t="s">
        <v>28</v>
      </c>
      <c r="E6" s="27">
        <f>(121359.3/(1.65/100))</f>
        <v>7355109.0909090908</v>
      </c>
      <c r="F6" s="28">
        <v>1</v>
      </c>
      <c r="G6" s="29">
        <v>41852</v>
      </c>
      <c r="H6" s="13">
        <f>E6</f>
        <v>7355109.0909090908</v>
      </c>
      <c r="I6" s="30">
        <f>1.65/100*H6</f>
        <v>121359.3</v>
      </c>
      <c r="J6" s="31">
        <v>18482.3</v>
      </c>
      <c r="K6" s="32">
        <v>6928.22</v>
      </c>
      <c r="L6" s="49">
        <f>I6-J6-K6</f>
        <v>95948.78</v>
      </c>
      <c r="M6" s="33">
        <v>0</v>
      </c>
      <c r="N6" s="34">
        <f>I6-J6-M6</f>
        <v>102877</v>
      </c>
      <c r="O6" s="35">
        <f>IFERROR(N6/H6, " ")</f>
        <v>1.3987148080122414E-2</v>
      </c>
      <c r="P6" s="6"/>
      <c r="Q6" s="28">
        <v>1</v>
      </c>
      <c r="R6" s="29">
        <f>G6</f>
        <v>41852</v>
      </c>
      <c r="S6" s="13">
        <f t="shared" ref="S6:S17" si="0">H6</f>
        <v>7355109.0909090908</v>
      </c>
      <c r="T6" s="30">
        <f>7.6/100*S6</f>
        <v>558988.29090909089</v>
      </c>
      <c r="U6" s="31">
        <v>85130.58</v>
      </c>
      <c r="V6" s="32">
        <v>31976.39</v>
      </c>
      <c r="W6" s="49">
        <f t="shared" ref="W6:W17" si="1">T6-U6-V6</f>
        <v>441881.32090909086</v>
      </c>
      <c r="X6" s="33">
        <v>0</v>
      </c>
      <c r="Y6" s="34">
        <f>T6-U6-X6</f>
        <v>473857.71090909088</v>
      </c>
      <c r="Z6" s="35">
        <f>IFERROR(Y6/S6, " ")</f>
        <v>6.4425653658186879E-2</v>
      </c>
    </row>
    <row r="7" spans="2:26" s="3" customFormat="1" ht="33" customHeight="1" x14ac:dyDescent="0.25">
      <c r="B7" s="626"/>
      <c r="C7" s="626"/>
      <c r="D7" s="14" t="s">
        <v>29</v>
      </c>
      <c r="E7" s="27">
        <f>131368.03/(1.65/100)</f>
        <v>7961698.7878787871</v>
      </c>
      <c r="F7" s="28">
        <f t="shared" ref="F7:F17" si="2">1+F6</f>
        <v>2</v>
      </c>
      <c r="G7" s="29">
        <v>41883</v>
      </c>
      <c r="H7" s="13">
        <f t="shared" ref="H7:H17" si="3">E7</f>
        <v>7961698.7878787871</v>
      </c>
      <c r="I7" s="30">
        <f t="shared" ref="I7:I17" si="4">1.65/100*H7</f>
        <v>131368.03</v>
      </c>
      <c r="J7" s="31">
        <v>19360.12</v>
      </c>
      <c r="K7" s="32">
        <v>11753.88</v>
      </c>
      <c r="L7" s="49">
        <f>I7-J7-K7</f>
        <v>100254.03</v>
      </c>
      <c r="M7" s="33">
        <v>0</v>
      </c>
      <c r="N7" s="34">
        <f>I7-J7-M7</f>
        <v>112007.91</v>
      </c>
      <c r="O7" s="35">
        <f>IFERROR(N7/H7, " ")</f>
        <v>1.4068343074034073E-2</v>
      </c>
      <c r="Q7" s="28">
        <f t="shared" ref="Q7:Q17" si="5">Q6+1</f>
        <v>2</v>
      </c>
      <c r="R7" s="29">
        <f t="shared" ref="R7:R17" si="6">G7</f>
        <v>41883</v>
      </c>
      <c r="S7" s="13">
        <f t="shared" si="0"/>
        <v>7961698.7878787871</v>
      </c>
      <c r="T7" s="30">
        <f t="shared" ref="T7:T17" si="7">7.6/100*S7</f>
        <v>605089.10787878779</v>
      </c>
      <c r="U7" s="31">
        <v>89173.9</v>
      </c>
      <c r="V7" s="32">
        <v>54248.72</v>
      </c>
      <c r="W7" s="49">
        <f t="shared" si="1"/>
        <v>461666.4878787878</v>
      </c>
      <c r="X7" s="33">
        <v>0</v>
      </c>
      <c r="Y7" s="34">
        <f>T7-U7-X7</f>
        <v>515915.20787878777</v>
      </c>
      <c r="Z7" s="35">
        <f>IFERROR(Y7/S7, " ")</f>
        <v>6.4799639075047405E-2</v>
      </c>
    </row>
    <row r="8" spans="2:26" s="3" customFormat="1" ht="33" customHeight="1" x14ac:dyDescent="0.25">
      <c r="B8" s="626"/>
      <c r="C8" s="626"/>
      <c r="D8" s="14" t="s">
        <v>30</v>
      </c>
      <c r="E8" s="27">
        <f>154022.05/(1.65/100)</f>
        <v>9334669.6969696954</v>
      </c>
      <c r="F8" s="28">
        <f t="shared" si="2"/>
        <v>3</v>
      </c>
      <c r="G8" s="29">
        <v>41913</v>
      </c>
      <c r="H8" s="13">
        <f t="shared" si="3"/>
        <v>9334669.6969696954</v>
      </c>
      <c r="I8" s="30">
        <f t="shared" si="4"/>
        <v>154022.04999999999</v>
      </c>
      <c r="J8" s="31">
        <v>16303.02</v>
      </c>
      <c r="K8" s="32">
        <v>20675.93</v>
      </c>
      <c r="L8" s="49">
        <f t="shared" ref="L8:L17" si="8">I8-J8-K8</f>
        <v>117043.1</v>
      </c>
      <c r="M8" s="33">
        <v>0</v>
      </c>
      <c r="N8" s="34">
        <f t="shared" ref="N8:N17" si="9">I8-J8-M8</f>
        <v>137719.03</v>
      </c>
      <c r="O8" s="35">
        <f t="shared" ref="O8:O17" si="10">IFERROR(N8/H8, " ")</f>
        <v>1.4753497924485491E-2</v>
      </c>
      <c r="Q8" s="28">
        <f t="shared" si="5"/>
        <v>3</v>
      </c>
      <c r="R8" s="29">
        <f t="shared" si="6"/>
        <v>41913</v>
      </c>
      <c r="S8" s="13">
        <f t="shared" si="0"/>
        <v>9334669.6969696954</v>
      </c>
      <c r="T8" s="30">
        <f t="shared" si="7"/>
        <v>709434.89696969686</v>
      </c>
      <c r="U8" s="31">
        <v>75092.69</v>
      </c>
      <c r="V8" s="32">
        <v>95427.43</v>
      </c>
      <c r="W8" s="49">
        <f t="shared" si="1"/>
        <v>538914.77696969686</v>
      </c>
      <c r="X8" s="33">
        <v>0</v>
      </c>
      <c r="Y8" s="34">
        <f t="shared" ref="Y8:Y17" si="11">T8-U8-X8</f>
        <v>634342.2069696968</v>
      </c>
      <c r="Z8" s="35">
        <f t="shared" ref="Z8:Z17" si="12">IFERROR(Y8/S8, " ")</f>
        <v>6.7955506468067389E-2</v>
      </c>
    </row>
    <row r="9" spans="2:26" s="3" customFormat="1" ht="33" customHeight="1" x14ac:dyDescent="0.25">
      <c r="B9" s="626"/>
      <c r="C9" s="626"/>
      <c r="D9" s="14" t="s">
        <v>31</v>
      </c>
      <c r="E9" s="27">
        <f>124807.15/(1.65/100)</f>
        <v>7564069.6969696963</v>
      </c>
      <c r="F9" s="28">
        <f t="shared" si="2"/>
        <v>4</v>
      </c>
      <c r="G9" s="29">
        <v>41944</v>
      </c>
      <c r="H9" s="13">
        <f t="shared" si="3"/>
        <v>7564069.6969696963</v>
      </c>
      <c r="I9" s="30">
        <f t="shared" si="4"/>
        <v>124807.15</v>
      </c>
      <c r="J9" s="31">
        <v>21015.9</v>
      </c>
      <c r="K9" s="32">
        <v>11381.56</v>
      </c>
      <c r="L9" s="49">
        <f t="shared" si="8"/>
        <v>92409.69</v>
      </c>
      <c r="M9" s="33">
        <v>0</v>
      </c>
      <c r="N9" s="34">
        <f t="shared" si="9"/>
        <v>103791.25</v>
      </c>
      <c r="O9" s="35">
        <f t="shared" si="10"/>
        <v>1.3721614707170223E-2</v>
      </c>
      <c r="Q9" s="28">
        <f t="shared" si="5"/>
        <v>4</v>
      </c>
      <c r="R9" s="29">
        <f t="shared" si="6"/>
        <v>41944</v>
      </c>
      <c r="S9" s="13">
        <f t="shared" si="0"/>
        <v>7564069.6969696963</v>
      </c>
      <c r="T9" s="30">
        <f t="shared" si="7"/>
        <v>574869.29696969688</v>
      </c>
      <c r="U9" s="31">
        <v>96800.52</v>
      </c>
      <c r="V9" s="32">
        <v>52530.22</v>
      </c>
      <c r="W9" s="49">
        <f t="shared" si="1"/>
        <v>425538.55696969689</v>
      </c>
      <c r="X9" s="33">
        <v>0</v>
      </c>
      <c r="Y9" s="34">
        <f t="shared" si="11"/>
        <v>478068.77696969686</v>
      </c>
      <c r="Z9" s="35">
        <f t="shared" si="12"/>
        <v>6.3202587512013519E-2</v>
      </c>
    </row>
    <row r="10" spans="2:26" s="3" customFormat="1" ht="33" customHeight="1" x14ac:dyDescent="0.25">
      <c r="B10" s="627" t="s">
        <v>32</v>
      </c>
      <c r="C10" s="627"/>
      <c r="D10" s="14" t="s">
        <v>33</v>
      </c>
      <c r="E10" s="27">
        <f>(208127.79/(1.65/100))</f>
        <v>12613805.454545455</v>
      </c>
      <c r="F10" s="28">
        <f t="shared" si="2"/>
        <v>5</v>
      </c>
      <c r="G10" s="29">
        <v>41974</v>
      </c>
      <c r="H10" s="13">
        <f t="shared" si="3"/>
        <v>12613805.454545455</v>
      </c>
      <c r="I10" s="30">
        <f t="shared" si="4"/>
        <v>208127.79</v>
      </c>
      <c r="J10" s="31">
        <v>3979.38</v>
      </c>
      <c r="K10" s="32">
        <v>3650.11</v>
      </c>
      <c r="L10" s="49">
        <f t="shared" si="8"/>
        <v>200498.30000000002</v>
      </c>
      <c r="M10" s="33">
        <v>0</v>
      </c>
      <c r="N10" s="34">
        <f t="shared" si="9"/>
        <v>204148.41</v>
      </c>
      <c r="O10" s="35">
        <f t="shared" si="10"/>
        <v>1.6184521850734108E-2</v>
      </c>
      <c r="Q10" s="28">
        <f t="shared" si="5"/>
        <v>5</v>
      </c>
      <c r="R10" s="29">
        <f t="shared" si="6"/>
        <v>41974</v>
      </c>
      <c r="S10" s="13">
        <f t="shared" si="0"/>
        <v>12613805.454545455</v>
      </c>
      <c r="T10" s="30">
        <f t="shared" si="7"/>
        <v>958649.2145454546</v>
      </c>
      <c r="U10" s="31">
        <v>18329.27</v>
      </c>
      <c r="V10" s="32">
        <v>16846.66</v>
      </c>
      <c r="W10" s="49">
        <f t="shared" si="1"/>
        <v>923473.28454545455</v>
      </c>
      <c r="X10" s="33">
        <v>0</v>
      </c>
      <c r="Y10" s="34">
        <f t="shared" si="11"/>
        <v>940319.94454545458</v>
      </c>
      <c r="Z10" s="35">
        <f t="shared" si="12"/>
        <v>7.4546888164237948E-2</v>
      </c>
    </row>
    <row r="11" spans="2:26" s="3" customFormat="1" ht="33" customHeight="1" x14ac:dyDescent="0.25">
      <c r="B11" s="627"/>
      <c r="C11" s="627"/>
      <c r="D11" s="14" t="s">
        <v>34</v>
      </c>
      <c r="E11" s="27">
        <f>(88155.31/(1.65/100))</f>
        <v>5342746.0606060605</v>
      </c>
      <c r="F11" s="28">
        <f t="shared" si="2"/>
        <v>6</v>
      </c>
      <c r="G11" s="29">
        <v>42005</v>
      </c>
      <c r="H11" s="13">
        <f t="shared" si="3"/>
        <v>5342746.0606060605</v>
      </c>
      <c r="I11" s="30">
        <f t="shared" si="4"/>
        <v>88155.31</v>
      </c>
      <c r="J11" s="31">
        <v>18609.87</v>
      </c>
      <c r="K11" s="32">
        <v>10092.01</v>
      </c>
      <c r="L11" s="49">
        <f t="shared" si="8"/>
        <v>59453.43</v>
      </c>
      <c r="M11" s="33">
        <v>0</v>
      </c>
      <c r="N11" s="34">
        <f t="shared" si="9"/>
        <v>69545.440000000002</v>
      </c>
      <c r="O11" s="35">
        <f t="shared" si="10"/>
        <v>1.3016796832771616E-2</v>
      </c>
      <c r="Q11" s="28">
        <f t="shared" si="5"/>
        <v>6</v>
      </c>
      <c r="R11" s="29">
        <f t="shared" si="6"/>
        <v>42005</v>
      </c>
      <c r="S11" s="13">
        <f t="shared" si="0"/>
        <v>5342746.0606060605</v>
      </c>
      <c r="T11" s="30">
        <f t="shared" si="7"/>
        <v>406048.70060606056</v>
      </c>
      <c r="U11" s="31">
        <v>85718.18</v>
      </c>
      <c r="V11" s="32">
        <v>46578.52</v>
      </c>
      <c r="W11" s="49">
        <f t="shared" si="1"/>
        <v>273752.00060606055</v>
      </c>
      <c r="X11" s="33">
        <v>0</v>
      </c>
      <c r="Y11" s="34">
        <f t="shared" si="11"/>
        <v>320330.52060606057</v>
      </c>
      <c r="Z11" s="35">
        <f t="shared" si="12"/>
        <v>5.9956156810066226E-2</v>
      </c>
    </row>
    <row r="12" spans="2:26" s="3" customFormat="1" ht="33" customHeight="1" x14ac:dyDescent="0.25">
      <c r="B12" s="627"/>
      <c r="C12" s="627"/>
      <c r="D12" s="14" t="s">
        <v>35</v>
      </c>
      <c r="E12" s="27">
        <f>134953.32/(1.65/100)</f>
        <v>8178989.0909090908</v>
      </c>
      <c r="F12" s="28">
        <f t="shared" si="2"/>
        <v>7</v>
      </c>
      <c r="G12" s="29">
        <v>42036</v>
      </c>
      <c r="H12" s="13">
        <f t="shared" si="3"/>
        <v>8178989.0909090908</v>
      </c>
      <c r="I12" s="30">
        <f t="shared" si="4"/>
        <v>134953.32</v>
      </c>
      <c r="J12" s="31">
        <v>18143.98</v>
      </c>
      <c r="K12" s="32">
        <v>5327.47</v>
      </c>
      <c r="L12" s="49">
        <f t="shared" si="8"/>
        <v>111481.87000000001</v>
      </c>
      <c r="M12" s="33">
        <v>0</v>
      </c>
      <c r="N12" s="34">
        <f t="shared" si="9"/>
        <v>116809.34000000001</v>
      </c>
      <c r="O12" s="35">
        <f t="shared" si="10"/>
        <v>1.4281635383256967E-2</v>
      </c>
      <c r="Q12" s="28">
        <f t="shared" si="5"/>
        <v>7</v>
      </c>
      <c r="R12" s="29">
        <f t="shared" si="6"/>
        <v>42036</v>
      </c>
      <c r="S12" s="13">
        <f t="shared" si="0"/>
        <v>8178989.0909090908</v>
      </c>
      <c r="T12" s="30">
        <f t="shared" si="7"/>
        <v>621603.1709090909</v>
      </c>
      <c r="U12" s="31">
        <v>83572.27</v>
      </c>
      <c r="V12" s="32">
        <v>24588.35</v>
      </c>
      <c r="W12" s="49">
        <f t="shared" si="1"/>
        <v>513442.5509090909</v>
      </c>
      <c r="X12" s="33">
        <v>0</v>
      </c>
      <c r="Y12" s="34">
        <f t="shared" si="11"/>
        <v>538030.90090909088</v>
      </c>
      <c r="Z12" s="35">
        <f t="shared" si="12"/>
        <v>6.5782078314190418E-2</v>
      </c>
    </row>
    <row r="13" spans="2:26" s="3" customFormat="1" ht="33" customHeight="1" x14ac:dyDescent="0.25">
      <c r="B13" s="627"/>
      <c r="C13" s="627"/>
      <c r="D13" s="14" t="s">
        <v>36</v>
      </c>
      <c r="E13" s="27">
        <f>(133438.84/(1.65/100))</f>
        <v>8087202.4242424238</v>
      </c>
      <c r="F13" s="28">
        <f t="shared" si="2"/>
        <v>8</v>
      </c>
      <c r="G13" s="29">
        <v>42064</v>
      </c>
      <c r="H13" s="13">
        <f t="shared" si="3"/>
        <v>8087202.4242424238</v>
      </c>
      <c r="I13" s="30">
        <f t="shared" si="4"/>
        <v>133438.84</v>
      </c>
      <c r="J13" s="31">
        <v>24694.85</v>
      </c>
      <c r="K13" s="32">
        <v>9100.17</v>
      </c>
      <c r="L13" s="49">
        <f t="shared" si="8"/>
        <v>99643.819999999992</v>
      </c>
      <c r="M13" s="33">
        <v>0</v>
      </c>
      <c r="N13" s="34">
        <f t="shared" si="9"/>
        <v>108743.98999999999</v>
      </c>
      <c r="O13" s="35">
        <f t="shared" si="10"/>
        <v>1.3446428603546013E-2</v>
      </c>
      <c r="Q13" s="28">
        <f t="shared" si="5"/>
        <v>8</v>
      </c>
      <c r="R13" s="29">
        <f t="shared" si="6"/>
        <v>42064</v>
      </c>
      <c r="S13" s="13">
        <f t="shared" si="0"/>
        <v>8087202.4242424238</v>
      </c>
      <c r="T13" s="30">
        <f t="shared" si="7"/>
        <v>614627.38424242416</v>
      </c>
      <c r="U13" s="31">
        <v>113745.99</v>
      </c>
      <c r="V13" s="32">
        <v>42000.800000000003</v>
      </c>
      <c r="W13" s="49">
        <f t="shared" si="1"/>
        <v>458880.59424242418</v>
      </c>
      <c r="X13" s="33">
        <v>0</v>
      </c>
      <c r="Y13" s="34">
        <f t="shared" si="11"/>
        <v>500881.39424242417</v>
      </c>
      <c r="Z13" s="35">
        <f t="shared" si="12"/>
        <v>6.1935063321893379E-2</v>
      </c>
    </row>
    <row r="14" spans="2:26" s="3" customFormat="1" ht="33" customHeight="1" x14ac:dyDescent="0.25">
      <c r="D14" s="36"/>
      <c r="E14" s="27">
        <f>(133183.58/(1.65/100))</f>
        <v>8071732.1212121202</v>
      </c>
      <c r="F14" s="28">
        <f t="shared" si="2"/>
        <v>9</v>
      </c>
      <c r="G14" s="29">
        <v>42095</v>
      </c>
      <c r="H14" s="13">
        <f t="shared" si="3"/>
        <v>8071732.1212121202</v>
      </c>
      <c r="I14" s="30">
        <f t="shared" si="4"/>
        <v>133183.57999999999</v>
      </c>
      <c r="J14" s="31">
        <v>17497.060000000001</v>
      </c>
      <c r="K14" s="32">
        <v>7436.26</v>
      </c>
      <c r="L14" s="49">
        <f t="shared" si="8"/>
        <v>108250.26</v>
      </c>
      <c r="M14" s="33">
        <v>0</v>
      </c>
      <c r="N14" s="34">
        <f t="shared" si="9"/>
        <v>115686.51999999999</v>
      </c>
      <c r="O14" s="35">
        <f t="shared" si="10"/>
        <v>1.4332304177436889E-2</v>
      </c>
      <c r="Q14" s="28">
        <f t="shared" si="5"/>
        <v>9</v>
      </c>
      <c r="R14" s="29">
        <f t="shared" si="6"/>
        <v>42095</v>
      </c>
      <c r="S14" s="13">
        <f t="shared" si="0"/>
        <v>8071732.1212121202</v>
      </c>
      <c r="T14" s="30">
        <f t="shared" si="7"/>
        <v>613451.64121212112</v>
      </c>
      <c r="U14" s="31">
        <v>80592.52</v>
      </c>
      <c r="V14" s="32">
        <v>34321.29</v>
      </c>
      <c r="W14" s="49">
        <f t="shared" si="1"/>
        <v>498537.83121212112</v>
      </c>
      <c r="X14" s="33">
        <v>0</v>
      </c>
      <c r="Y14" s="34">
        <f t="shared" si="11"/>
        <v>532859.1212121211</v>
      </c>
      <c r="Z14" s="35">
        <f t="shared" si="12"/>
        <v>6.601546151560124E-2</v>
      </c>
    </row>
    <row r="15" spans="2:26" s="3" customFormat="1" ht="33" customHeight="1" x14ac:dyDescent="0.25">
      <c r="D15" s="27"/>
      <c r="E15" s="27">
        <f>129296.49/(1.65/100)</f>
        <v>7836150.9090909092</v>
      </c>
      <c r="F15" s="28">
        <f t="shared" si="2"/>
        <v>10</v>
      </c>
      <c r="G15" s="29">
        <v>42125</v>
      </c>
      <c r="H15" s="13">
        <f t="shared" si="3"/>
        <v>7836150.9090909092</v>
      </c>
      <c r="I15" s="30">
        <f t="shared" si="4"/>
        <v>129296.49</v>
      </c>
      <c r="J15" s="31">
        <v>17709.400000000001</v>
      </c>
      <c r="K15" s="32">
        <v>7015.52</v>
      </c>
      <c r="L15" s="49">
        <f t="shared" si="8"/>
        <v>104571.56999999999</v>
      </c>
      <c r="M15" s="33">
        <v>0</v>
      </c>
      <c r="N15" s="34">
        <f t="shared" si="9"/>
        <v>111587.09</v>
      </c>
      <c r="O15" s="35">
        <f t="shared" si="10"/>
        <v>1.424003841867633E-2</v>
      </c>
      <c r="Q15" s="28">
        <f t="shared" si="5"/>
        <v>10</v>
      </c>
      <c r="R15" s="29">
        <f t="shared" si="6"/>
        <v>42125</v>
      </c>
      <c r="S15" s="13">
        <f t="shared" si="0"/>
        <v>7836150.9090909092</v>
      </c>
      <c r="T15" s="30">
        <f t="shared" si="7"/>
        <v>595547.46909090912</v>
      </c>
      <c r="U15" s="31">
        <v>81570.559999999998</v>
      </c>
      <c r="V15" s="32">
        <v>32379.42</v>
      </c>
      <c r="W15" s="49">
        <f t="shared" si="1"/>
        <v>481597.48909090913</v>
      </c>
      <c r="X15" s="33">
        <v>0</v>
      </c>
      <c r="Y15" s="34">
        <f t="shared" si="11"/>
        <v>513976.90909090912</v>
      </c>
      <c r="Z15" s="35">
        <f t="shared" si="12"/>
        <v>6.5590481226520531E-2</v>
      </c>
    </row>
    <row r="16" spans="2:26" s="3" customFormat="1" ht="33" customHeight="1" x14ac:dyDescent="0.25">
      <c r="D16" s="27"/>
      <c r="E16" s="27">
        <f>(137159.63/(1.65/100))</f>
        <v>8312704.8484848486</v>
      </c>
      <c r="F16" s="28">
        <f t="shared" si="2"/>
        <v>11</v>
      </c>
      <c r="G16" s="37">
        <v>42156</v>
      </c>
      <c r="H16" s="13">
        <f t="shared" si="3"/>
        <v>8312704.8484848486</v>
      </c>
      <c r="I16" s="30">
        <f t="shared" si="4"/>
        <v>137159.63</v>
      </c>
      <c r="J16" s="31">
        <v>20197.66</v>
      </c>
      <c r="K16" s="32">
        <v>8005.92</v>
      </c>
      <c r="L16" s="49">
        <f t="shared" si="8"/>
        <v>108956.05</v>
      </c>
      <c r="M16" s="33">
        <v>0</v>
      </c>
      <c r="N16" s="34">
        <f t="shared" si="9"/>
        <v>116961.97</v>
      </c>
      <c r="O16" s="35">
        <f t="shared" si="10"/>
        <v>1.4070266192756571E-2</v>
      </c>
      <c r="Q16" s="28">
        <f t="shared" si="5"/>
        <v>11</v>
      </c>
      <c r="R16" s="29">
        <f t="shared" si="6"/>
        <v>42156</v>
      </c>
      <c r="S16" s="13">
        <f t="shared" si="0"/>
        <v>8312704.8484848486</v>
      </c>
      <c r="T16" s="30">
        <f t="shared" si="7"/>
        <v>631765.56848484848</v>
      </c>
      <c r="U16" s="31">
        <v>93031.64</v>
      </c>
      <c r="V16" s="32">
        <v>36950.449999999997</v>
      </c>
      <c r="W16" s="49">
        <f t="shared" si="1"/>
        <v>501783.47848484846</v>
      </c>
      <c r="X16" s="33">
        <v>0</v>
      </c>
      <c r="Y16" s="34">
        <f t="shared" si="11"/>
        <v>538733.92848484847</v>
      </c>
      <c r="Z16" s="35">
        <f t="shared" si="12"/>
        <v>6.4808499556319885E-2</v>
      </c>
    </row>
    <row r="17" spans="4:26" s="3" customFormat="1" ht="33" customHeight="1" thickBot="1" x14ac:dyDescent="0.3">
      <c r="D17" s="27"/>
      <c r="E17" s="27">
        <f>(146104.98/(1.65/100))</f>
        <v>8854847.2727272734</v>
      </c>
      <c r="F17" s="38">
        <f t="shared" si="2"/>
        <v>12</v>
      </c>
      <c r="G17" s="39">
        <v>42186</v>
      </c>
      <c r="H17" s="13">
        <f t="shared" si="3"/>
        <v>8854847.2727272734</v>
      </c>
      <c r="I17" s="30">
        <f t="shared" si="4"/>
        <v>146104.98000000001</v>
      </c>
      <c r="J17" s="31">
        <v>133256.70000000001</v>
      </c>
      <c r="K17" s="32">
        <v>7850.03</v>
      </c>
      <c r="L17" s="49">
        <f t="shared" si="8"/>
        <v>4998.2499999999991</v>
      </c>
      <c r="M17" s="33">
        <v>0</v>
      </c>
      <c r="N17" s="34">
        <f t="shared" si="9"/>
        <v>12848.279999999999</v>
      </c>
      <c r="O17" s="35">
        <f t="shared" si="10"/>
        <v>1.4509883236012897E-3</v>
      </c>
      <c r="Q17" s="40">
        <f t="shared" si="5"/>
        <v>12</v>
      </c>
      <c r="R17" s="29">
        <f t="shared" si="6"/>
        <v>42186</v>
      </c>
      <c r="S17" s="41">
        <f t="shared" si="0"/>
        <v>8854847.2727272734</v>
      </c>
      <c r="T17" s="30">
        <f t="shared" si="7"/>
        <v>672968.39272727282</v>
      </c>
      <c r="U17" s="31">
        <v>613788.43999999994</v>
      </c>
      <c r="V17" s="32">
        <v>36230.97</v>
      </c>
      <c r="W17" s="49">
        <f t="shared" si="1"/>
        <v>22948.982727272873</v>
      </c>
      <c r="X17" s="33">
        <v>0</v>
      </c>
      <c r="Y17" s="34">
        <f t="shared" si="11"/>
        <v>59179.952727272874</v>
      </c>
      <c r="Z17" s="35">
        <f t="shared" si="12"/>
        <v>6.6833397465302161E-3</v>
      </c>
    </row>
    <row r="18" spans="4:26" s="3" customFormat="1" ht="33" customHeight="1" thickBot="1" x14ac:dyDescent="0.3">
      <c r="D18" s="50"/>
      <c r="E18" s="5"/>
      <c r="F18" s="628" t="s">
        <v>37</v>
      </c>
      <c r="G18" s="629"/>
      <c r="H18" s="42">
        <f>SUM(H6:H17)</f>
        <v>99513725.454545438</v>
      </c>
      <c r="I18" s="43"/>
      <c r="J18" s="630" t="s">
        <v>38</v>
      </c>
      <c r="K18" s="630"/>
      <c r="L18" s="630"/>
      <c r="M18" s="630"/>
      <c r="N18" s="631"/>
      <c r="O18" s="51">
        <f>IFERROR(AVERAGE(O6:O17), " ")</f>
        <v>1.3129465297382665E-2</v>
      </c>
      <c r="Q18" s="632" t="s">
        <v>37</v>
      </c>
      <c r="R18" s="633"/>
      <c r="S18" s="44">
        <f>SUM(S6:S17)</f>
        <v>99513725.454545438</v>
      </c>
      <c r="T18" s="45"/>
      <c r="U18" s="611" t="s">
        <v>39</v>
      </c>
      <c r="V18" s="611"/>
      <c r="W18" s="611"/>
      <c r="X18" s="611"/>
      <c r="Y18" s="612"/>
      <c r="Z18" s="52">
        <f>IFERROR(AVERAGE(Z6:Z17)," ")</f>
        <v>6.0475112947389581E-2</v>
      </c>
    </row>
    <row r="19" spans="4:26" s="3" customFormat="1" ht="33" customHeight="1" x14ac:dyDescent="0.25">
      <c r="D19" s="5"/>
      <c r="E19" s="5"/>
      <c r="F19" s="46" t="s">
        <v>40</v>
      </c>
      <c r="G19" s="4"/>
      <c r="H19" s="5"/>
      <c r="J19" s="5"/>
      <c r="K19" s="5"/>
      <c r="O19" s="47"/>
      <c r="Q19" s="46" t="s">
        <v>40</v>
      </c>
      <c r="R19" s="4"/>
      <c r="S19" s="5"/>
      <c r="U19" s="5"/>
      <c r="V19" s="5"/>
      <c r="Z19" s="47"/>
    </row>
    <row r="20" spans="4:26" s="3" customFormat="1" ht="33" customHeight="1" x14ac:dyDescent="0.25">
      <c r="E20" s="5"/>
      <c r="F20" s="14" t="s">
        <v>41</v>
      </c>
      <c r="G20" s="605" t="s">
        <v>42</v>
      </c>
      <c r="H20" s="606"/>
      <c r="I20" s="606"/>
      <c r="J20" s="606"/>
      <c r="K20" s="606"/>
      <c r="L20" s="606"/>
      <c r="M20" s="606"/>
      <c r="N20" s="606"/>
      <c r="O20" s="607"/>
      <c r="Q20" s="14" t="s">
        <v>41</v>
      </c>
      <c r="R20" s="605" t="s">
        <v>42</v>
      </c>
      <c r="S20" s="606"/>
      <c r="T20" s="606"/>
      <c r="U20" s="606"/>
      <c r="V20" s="606"/>
      <c r="W20" s="606"/>
      <c r="X20" s="606"/>
      <c r="Y20" s="606"/>
      <c r="Z20" s="607"/>
    </row>
    <row r="21" spans="4:26" ht="36" customHeight="1" x14ac:dyDescent="0.25">
      <c r="F21" s="14" t="s">
        <v>43</v>
      </c>
      <c r="G21" s="605" t="s">
        <v>44</v>
      </c>
      <c r="H21" s="606"/>
      <c r="I21" s="606"/>
      <c r="J21" s="606"/>
      <c r="K21" s="606"/>
      <c r="L21" s="606"/>
      <c r="M21" s="606"/>
      <c r="N21" s="606"/>
      <c r="O21" s="607"/>
      <c r="Q21" s="14" t="s">
        <v>43</v>
      </c>
      <c r="R21" s="605" t="s">
        <v>44</v>
      </c>
      <c r="S21" s="606"/>
      <c r="T21" s="606"/>
      <c r="U21" s="606"/>
      <c r="V21" s="606"/>
      <c r="W21" s="606"/>
      <c r="X21" s="606"/>
      <c r="Y21" s="606"/>
      <c r="Z21" s="607"/>
    </row>
    <row r="22" spans="4:26" ht="72" customHeight="1" x14ac:dyDescent="0.25">
      <c r="F22" s="14" t="s">
        <v>45</v>
      </c>
      <c r="G22" s="608" t="s">
        <v>46</v>
      </c>
      <c r="H22" s="609"/>
      <c r="I22" s="609"/>
      <c r="J22" s="609"/>
      <c r="K22" s="609"/>
      <c r="L22" s="609"/>
      <c r="M22" s="609"/>
      <c r="N22" s="609"/>
      <c r="O22" s="610"/>
      <c r="Q22" s="14" t="s">
        <v>45</v>
      </c>
      <c r="R22" s="608" t="s">
        <v>46</v>
      </c>
      <c r="S22" s="609"/>
      <c r="T22" s="609"/>
      <c r="U22" s="609"/>
      <c r="V22" s="609"/>
      <c r="W22" s="609"/>
      <c r="X22" s="609"/>
      <c r="Y22" s="609"/>
      <c r="Z22" s="610"/>
    </row>
    <row r="23" spans="4:26" ht="36" customHeight="1" x14ac:dyDescent="0.25"/>
    <row r="24" spans="4:26" s="3" customFormat="1" x14ac:dyDescent="0.25">
      <c r="E24" s="53" t="s">
        <v>53</v>
      </c>
      <c r="F24" s="54" t="s">
        <v>47</v>
      </c>
      <c r="G24" s="55" t="s">
        <v>48</v>
      </c>
      <c r="H24" s="53" t="s">
        <v>49</v>
      </c>
      <c r="I24" s="56" t="s">
        <v>50</v>
      </c>
      <c r="J24" s="5"/>
      <c r="K24" s="5"/>
      <c r="O24" s="6"/>
      <c r="S24" s="5"/>
      <c r="U24" s="5"/>
      <c r="V24" s="5"/>
      <c r="W24" s="5"/>
      <c r="X24" s="5"/>
      <c r="Y24" s="5"/>
    </row>
  </sheetData>
  <mergeCells count="20">
    <mergeCell ref="U18:Y18"/>
    <mergeCell ref="B3:D4"/>
    <mergeCell ref="F3:H3"/>
    <mergeCell ref="Q3:S3"/>
    <mergeCell ref="F4:F5"/>
    <mergeCell ref="G4:G5"/>
    <mergeCell ref="Q4:Q5"/>
    <mergeCell ref="R4:R5"/>
    <mergeCell ref="B5:C5"/>
    <mergeCell ref="B6:C9"/>
    <mergeCell ref="B10:C13"/>
    <mergeCell ref="F18:G18"/>
    <mergeCell ref="J18:N18"/>
    <mergeCell ref="Q18:R18"/>
    <mergeCell ref="G20:O20"/>
    <mergeCell ref="R20:Z20"/>
    <mergeCell ref="G21:O21"/>
    <mergeCell ref="R21:Z21"/>
    <mergeCell ref="G22:O22"/>
    <mergeCell ref="R22:Z2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W115"/>
  <sheetViews>
    <sheetView topLeftCell="AZ1" zoomScaleNormal="100" zoomScaleSheetLayoutView="90" workbookViewId="0">
      <pane ySplit="5" topLeftCell="A85" activePane="bottomLeft" state="frozen"/>
      <selection pane="bottomLeft" activeCell="BT108" sqref="BT108"/>
    </sheetView>
  </sheetViews>
  <sheetFormatPr defaultColWidth="9.140625" defaultRowHeight="16.5" x14ac:dyDescent="0.25"/>
  <cols>
    <col min="1" max="1" width="4.140625" style="79" customWidth="1"/>
    <col min="2" max="2" width="4.85546875" style="74" customWidth="1"/>
    <col min="3" max="3" width="56.7109375" style="75" customWidth="1"/>
    <col min="4" max="4" width="13.42578125" style="74" customWidth="1"/>
    <col min="5" max="5" width="9.28515625" style="76" customWidth="1"/>
    <col min="6" max="6" width="6" style="74" customWidth="1"/>
    <col min="7" max="7" width="16.28515625" style="79" customWidth="1"/>
    <col min="8" max="9" width="13.42578125" style="78" customWidth="1"/>
    <col min="10" max="10" width="11.7109375" style="78" customWidth="1"/>
    <col min="11" max="11" width="15.85546875" style="79" customWidth="1"/>
    <col min="12" max="37" width="11.7109375" style="79" customWidth="1"/>
    <col min="38" max="38" width="14.140625" style="79" customWidth="1"/>
    <col min="39" max="45" width="11.7109375" style="79" customWidth="1"/>
    <col min="46" max="46" width="16.42578125" style="79" customWidth="1"/>
    <col min="47" max="71" width="11.7109375" style="79" customWidth="1"/>
    <col min="72" max="72" width="14" style="79" customWidth="1"/>
    <col min="73" max="73" width="14.7109375" style="80" hidden="1" customWidth="1"/>
    <col min="74" max="74" width="0" style="79" hidden="1" customWidth="1"/>
    <col min="75" max="16384" width="9.140625" style="79"/>
  </cols>
  <sheetData>
    <row r="2" spans="2:75" x14ac:dyDescent="0.25">
      <c r="G2" s="77"/>
    </row>
    <row r="3" spans="2:75" ht="24.75" customHeight="1" x14ac:dyDescent="0.25">
      <c r="B3" s="344"/>
      <c r="C3" s="450" t="s">
        <v>82</v>
      </c>
      <c r="D3" s="450"/>
      <c r="E3" s="450"/>
      <c r="F3" s="451"/>
      <c r="G3" s="452" t="s">
        <v>83</v>
      </c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3"/>
      <c r="BR3" s="453"/>
      <c r="BS3" s="453"/>
      <c r="BT3" s="453"/>
      <c r="BU3" s="453"/>
      <c r="BW3" s="83"/>
    </row>
    <row r="4" spans="2:75" ht="17.25" customHeight="1" x14ac:dyDescent="0.25">
      <c r="B4" s="454" t="s">
        <v>84</v>
      </c>
      <c r="C4" s="455" t="s">
        <v>85</v>
      </c>
      <c r="D4" s="454" t="s">
        <v>86</v>
      </c>
      <c r="E4" s="456" t="s">
        <v>87</v>
      </c>
      <c r="F4" s="454" t="s">
        <v>88</v>
      </c>
      <c r="G4" s="457" t="s">
        <v>89</v>
      </c>
      <c r="H4" s="449" t="s">
        <v>335</v>
      </c>
      <c r="I4" s="449" t="s">
        <v>335</v>
      </c>
      <c r="J4" s="449" t="s">
        <v>335</v>
      </c>
      <c r="K4" s="449" t="s">
        <v>335</v>
      </c>
      <c r="L4" s="449" t="s">
        <v>335</v>
      </c>
      <c r="M4" s="449" t="s">
        <v>335</v>
      </c>
      <c r="N4" s="449" t="s">
        <v>335</v>
      </c>
      <c r="O4" s="449" t="s">
        <v>335</v>
      </c>
      <c r="P4" s="449" t="s">
        <v>335</v>
      </c>
      <c r="Q4" s="449" t="s">
        <v>335</v>
      </c>
      <c r="R4" s="449" t="s">
        <v>335</v>
      </c>
      <c r="S4" s="449" t="s">
        <v>335</v>
      </c>
      <c r="T4" s="449" t="s">
        <v>335</v>
      </c>
      <c r="U4" s="449" t="s">
        <v>335</v>
      </c>
      <c r="V4" s="449" t="s">
        <v>335</v>
      </c>
      <c r="W4" s="449" t="s">
        <v>335</v>
      </c>
      <c r="X4" s="449" t="s">
        <v>335</v>
      </c>
      <c r="Y4" s="449" t="s">
        <v>335</v>
      </c>
      <c r="Z4" s="449" t="s">
        <v>335</v>
      </c>
      <c r="AA4" s="449" t="s">
        <v>335</v>
      </c>
      <c r="AB4" s="449" t="s">
        <v>335</v>
      </c>
      <c r="AC4" s="449" t="s">
        <v>335</v>
      </c>
      <c r="AD4" s="449" t="s">
        <v>335</v>
      </c>
      <c r="AE4" s="449" t="s">
        <v>335</v>
      </c>
      <c r="AF4" s="449" t="s">
        <v>335</v>
      </c>
      <c r="AG4" s="449" t="s">
        <v>335</v>
      </c>
      <c r="AH4" s="449" t="s">
        <v>335</v>
      </c>
      <c r="AI4" s="449" t="s">
        <v>335</v>
      </c>
      <c r="AJ4" s="449" t="s">
        <v>335</v>
      </c>
      <c r="AK4" s="449" t="s">
        <v>335</v>
      </c>
      <c r="AL4" s="449" t="s">
        <v>335</v>
      </c>
      <c r="AM4" s="449" t="s">
        <v>335</v>
      </c>
      <c r="AN4" s="449" t="s">
        <v>335</v>
      </c>
      <c r="AO4" s="449" t="s">
        <v>335</v>
      </c>
      <c r="AP4" s="449" t="s">
        <v>335</v>
      </c>
      <c r="AQ4" s="449" t="s">
        <v>335</v>
      </c>
      <c r="AR4" s="449" t="s">
        <v>335</v>
      </c>
      <c r="AS4" s="449" t="s">
        <v>335</v>
      </c>
      <c r="AT4" s="449" t="s">
        <v>335</v>
      </c>
      <c r="AU4" s="449" t="s">
        <v>335</v>
      </c>
      <c r="AV4" s="449" t="s">
        <v>335</v>
      </c>
      <c r="AW4" s="449" t="s">
        <v>335</v>
      </c>
      <c r="AX4" s="449" t="s">
        <v>335</v>
      </c>
      <c r="AY4" s="449" t="s">
        <v>335</v>
      </c>
      <c r="AZ4" s="449" t="s">
        <v>335</v>
      </c>
      <c r="BA4" s="449" t="s">
        <v>335</v>
      </c>
      <c r="BB4" s="449" t="s">
        <v>335</v>
      </c>
      <c r="BC4" s="449" t="s">
        <v>335</v>
      </c>
      <c r="BD4" s="449" t="s">
        <v>335</v>
      </c>
      <c r="BE4" s="449" t="s">
        <v>335</v>
      </c>
      <c r="BF4" s="449" t="s">
        <v>335</v>
      </c>
      <c r="BG4" s="449" t="s">
        <v>335</v>
      </c>
      <c r="BH4" s="449" t="s">
        <v>335</v>
      </c>
      <c r="BI4" s="449" t="s">
        <v>335</v>
      </c>
      <c r="BJ4" s="449" t="s">
        <v>335</v>
      </c>
      <c r="BK4" s="449" t="s">
        <v>335</v>
      </c>
      <c r="BL4" s="449" t="s">
        <v>335</v>
      </c>
      <c r="BM4" s="449" t="s">
        <v>335</v>
      </c>
      <c r="BN4" s="449" t="s">
        <v>335</v>
      </c>
      <c r="BO4" s="449" t="s">
        <v>335</v>
      </c>
      <c r="BP4" s="449" t="s">
        <v>335</v>
      </c>
      <c r="BQ4" s="447" t="s">
        <v>92</v>
      </c>
      <c r="BR4" s="447" t="s">
        <v>93</v>
      </c>
      <c r="BS4" s="448" t="s">
        <v>94</v>
      </c>
      <c r="BT4" s="448" t="s">
        <v>95</v>
      </c>
      <c r="BU4" s="447" t="s">
        <v>96</v>
      </c>
    </row>
    <row r="5" spans="2:75" ht="30" customHeight="1" x14ac:dyDescent="0.25">
      <c r="B5" s="454"/>
      <c r="C5" s="455"/>
      <c r="D5" s="454"/>
      <c r="E5" s="456"/>
      <c r="F5" s="454"/>
      <c r="G5" s="458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49"/>
      <c r="AX5" s="449"/>
      <c r="AY5" s="449"/>
      <c r="AZ5" s="449"/>
      <c r="BA5" s="449"/>
      <c r="BB5" s="449"/>
      <c r="BC5" s="449"/>
      <c r="BD5" s="449"/>
      <c r="BE5" s="449"/>
      <c r="BF5" s="449"/>
      <c r="BG5" s="449"/>
      <c r="BH5" s="449"/>
      <c r="BI5" s="449"/>
      <c r="BJ5" s="449"/>
      <c r="BK5" s="449"/>
      <c r="BL5" s="449"/>
      <c r="BM5" s="449"/>
      <c r="BN5" s="449"/>
      <c r="BO5" s="449"/>
      <c r="BP5" s="449"/>
      <c r="BQ5" s="447"/>
      <c r="BR5" s="447"/>
      <c r="BS5" s="448"/>
      <c r="BT5" s="448"/>
      <c r="BU5" s="447"/>
      <c r="BV5" s="84"/>
    </row>
    <row r="6" spans="2:75" x14ac:dyDescent="0.25">
      <c r="B6" s="322">
        <v>1</v>
      </c>
      <c r="C6" s="323"/>
      <c r="D6" s="322"/>
      <c r="E6" s="324"/>
      <c r="F6" s="322"/>
      <c r="G6" s="325"/>
      <c r="H6" s="326"/>
      <c r="I6" s="326"/>
      <c r="J6" s="327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13" t="e">
        <f>AVERAGE(G6:BP6)</f>
        <v>#DIV/0!</v>
      </c>
      <c r="BR6" s="313" t="e">
        <f>MEDIAN(G6:BP6)</f>
        <v>#NUM!</v>
      </c>
      <c r="BS6" s="314" t="e">
        <f>SMALL(BQ6:BR6,1)</f>
        <v>#DIV/0!</v>
      </c>
      <c r="BT6" s="314" t="e">
        <f>BS6*F6</f>
        <v>#DIV/0!</v>
      </c>
      <c r="BU6" s="85">
        <f t="shared" ref="BU6:BU35" si="0">F6*G6</f>
        <v>0</v>
      </c>
      <c r="BV6" s="79">
        <f t="shared" ref="BV6:BV35" si="1">IF(COUNTA(G6:BP6)&gt;=3,"ok",3-COUNTA(G6:BP6))</f>
        <v>3</v>
      </c>
    </row>
    <row r="7" spans="2:75" x14ac:dyDescent="0.25">
      <c r="B7" s="322">
        <f>B6+1</f>
        <v>2</v>
      </c>
      <c r="C7" s="323"/>
      <c r="D7" s="322"/>
      <c r="E7" s="324"/>
      <c r="F7" s="322"/>
      <c r="G7" s="325"/>
      <c r="H7" s="326"/>
      <c r="I7" s="327"/>
      <c r="J7" s="329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13" t="e">
        <f t="shared" ref="BQ7:BQ70" si="2">AVERAGE(G7:BP7)</f>
        <v>#DIV/0!</v>
      </c>
      <c r="BR7" s="313" t="e">
        <f t="shared" ref="BR7:BR70" si="3">MEDIAN(G7:BP7)</f>
        <v>#NUM!</v>
      </c>
      <c r="BS7" s="314" t="e">
        <f t="shared" ref="BS7:BS70" si="4">SMALL(BQ7:BR7,1)</f>
        <v>#DIV/0!</v>
      </c>
      <c r="BT7" s="314" t="e">
        <f t="shared" ref="BT7:BT35" si="5">BS7*F7</f>
        <v>#DIV/0!</v>
      </c>
      <c r="BU7" s="85">
        <f t="shared" si="0"/>
        <v>0</v>
      </c>
      <c r="BV7" s="79">
        <f t="shared" si="1"/>
        <v>3</v>
      </c>
    </row>
    <row r="8" spans="2:75" x14ac:dyDescent="0.25">
      <c r="B8" s="322">
        <f t="shared" ref="B8:B35" si="6">B7+1</f>
        <v>3</v>
      </c>
      <c r="C8" s="323"/>
      <c r="D8" s="322"/>
      <c r="E8" s="324"/>
      <c r="F8" s="322"/>
      <c r="G8" s="325"/>
      <c r="H8" s="326"/>
      <c r="I8" s="327"/>
      <c r="J8" s="329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330"/>
      <c r="AG8" s="330"/>
      <c r="AH8" s="330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13" t="e">
        <f t="shared" si="2"/>
        <v>#DIV/0!</v>
      </c>
      <c r="BR8" s="313" t="e">
        <f t="shared" si="3"/>
        <v>#NUM!</v>
      </c>
      <c r="BS8" s="314" t="e">
        <f t="shared" si="4"/>
        <v>#DIV/0!</v>
      </c>
      <c r="BT8" s="314" t="e">
        <f t="shared" si="5"/>
        <v>#DIV/0!</v>
      </c>
      <c r="BU8" s="85">
        <f t="shared" si="0"/>
        <v>0</v>
      </c>
      <c r="BV8" s="79">
        <f t="shared" si="1"/>
        <v>3</v>
      </c>
    </row>
    <row r="9" spans="2:75" x14ac:dyDescent="0.25">
      <c r="B9" s="322">
        <f t="shared" si="6"/>
        <v>4</v>
      </c>
      <c r="C9" s="323"/>
      <c r="D9" s="322"/>
      <c r="E9" s="324"/>
      <c r="F9" s="322"/>
      <c r="G9" s="325"/>
      <c r="H9" s="326"/>
      <c r="I9" s="327"/>
      <c r="J9" s="327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13" t="e">
        <f t="shared" si="2"/>
        <v>#DIV/0!</v>
      </c>
      <c r="BR9" s="313" t="e">
        <f t="shared" si="3"/>
        <v>#NUM!</v>
      </c>
      <c r="BS9" s="314" t="e">
        <f t="shared" si="4"/>
        <v>#DIV/0!</v>
      </c>
      <c r="BT9" s="314" t="e">
        <f t="shared" si="5"/>
        <v>#DIV/0!</v>
      </c>
      <c r="BU9" s="85">
        <f t="shared" si="0"/>
        <v>0</v>
      </c>
      <c r="BV9" s="79">
        <f t="shared" si="1"/>
        <v>3</v>
      </c>
    </row>
    <row r="10" spans="2:75" x14ac:dyDescent="0.25">
      <c r="B10" s="322">
        <f t="shared" si="6"/>
        <v>5</v>
      </c>
      <c r="C10" s="323"/>
      <c r="D10" s="322"/>
      <c r="E10" s="324"/>
      <c r="F10" s="322"/>
      <c r="G10" s="325"/>
      <c r="H10" s="326"/>
      <c r="I10" s="327"/>
      <c r="J10" s="327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13" t="e">
        <f t="shared" si="2"/>
        <v>#DIV/0!</v>
      </c>
      <c r="BR10" s="313" t="e">
        <f t="shared" si="3"/>
        <v>#NUM!</v>
      </c>
      <c r="BS10" s="314" t="e">
        <f t="shared" si="4"/>
        <v>#DIV/0!</v>
      </c>
      <c r="BT10" s="314" t="e">
        <f t="shared" si="5"/>
        <v>#DIV/0!</v>
      </c>
      <c r="BU10" s="85">
        <f t="shared" si="0"/>
        <v>0</v>
      </c>
      <c r="BV10" s="79">
        <f t="shared" si="1"/>
        <v>3</v>
      </c>
    </row>
    <row r="11" spans="2:75" x14ac:dyDescent="0.25">
      <c r="B11" s="322">
        <f t="shared" si="6"/>
        <v>6</v>
      </c>
      <c r="C11" s="323"/>
      <c r="D11" s="322"/>
      <c r="E11" s="324"/>
      <c r="F11" s="322"/>
      <c r="G11" s="325"/>
      <c r="H11" s="326"/>
      <c r="I11" s="327"/>
      <c r="J11" s="327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13" t="e">
        <f t="shared" si="2"/>
        <v>#DIV/0!</v>
      </c>
      <c r="BR11" s="313" t="e">
        <f t="shared" si="3"/>
        <v>#NUM!</v>
      </c>
      <c r="BS11" s="314" t="e">
        <f t="shared" si="4"/>
        <v>#DIV/0!</v>
      </c>
      <c r="BT11" s="314" t="e">
        <f t="shared" si="5"/>
        <v>#DIV/0!</v>
      </c>
      <c r="BU11" s="85">
        <f t="shared" si="0"/>
        <v>0</v>
      </c>
      <c r="BV11" s="79">
        <f t="shared" si="1"/>
        <v>3</v>
      </c>
    </row>
    <row r="12" spans="2:75" x14ac:dyDescent="0.25">
      <c r="B12" s="322">
        <f t="shared" si="6"/>
        <v>7</v>
      </c>
      <c r="C12" s="323"/>
      <c r="D12" s="322"/>
      <c r="E12" s="324"/>
      <c r="F12" s="322"/>
      <c r="G12" s="325"/>
      <c r="H12" s="326"/>
      <c r="I12" s="327"/>
      <c r="J12" s="327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13" t="e">
        <f t="shared" si="2"/>
        <v>#DIV/0!</v>
      </c>
      <c r="BR12" s="313" t="e">
        <f t="shared" si="3"/>
        <v>#NUM!</v>
      </c>
      <c r="BS12" s="314" t="e">
        <f t="shared" si="4"/>
        <v>#DIV/0!</v>
      </c>
      <c r="BT12" s="314" t="e">
        <f t="shared" si="5"/>
        <v>#DIV/0!</v>
      </c>
      <c r="BU12" s="85">
        <f t="shared" si="0"/>
        <v>0</v>
      </c>
      <c r="BV12" s="79">
        <f t="shared" si="1"/>
        <v>3</v>
      </c>
    </row>
    <row r="13" spans="2:75" x14ac:dyDescent="0.25">
      <c r="B13" s="322">
        <f t="shared" si="6"/>
        <v>8</v>
      </c>
      <c r="C13" s="323"/>
      <c r="D13" s="322"/>
      <c r="E13" s="324"/>
      <c r="F13" s="322"/>
      <c r="G13" s="325"/>
      <c r="H13" s="326"/>
      <c r="I13" s="329"/>
      <c r="J13" s="329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13" t="e">
        <f t="shared" si="2"/>
        <v>#DIV/0!</v>
      </c>
      <c r="BR13" s="313" t="e">
        <f t="shared" si="3"/>
        <v>#NUM!</v>
      </c>
      <c r="BS13" s="314" t="e">
        <f t="shared" si="4"/>
        <v>#DIV/0!</v>
      </c>
      <c r="BT13" s="314" t="e">
        <f t="shared" si="5"/>
        <v>#DIV/0!</v>
      </c>
      <c r="BU13" s="85">
        <f t="shared" si="0"/>
        <v>0</v>
      </c>
      <c r="BV13" s="79">
        <f t="shared" si="1"/>
        <v>3</v>
      </c>
    </row>
    <row r="14" spans="2:75" x14ac:dyDescent="0.25">
      <c r="B14" s="322">
        <f t="shared" si="6"/>
        <v>9</v>
      </c>
      <c r="C14" s="323"/>
      <c r="D14" s="322"/>
      <c r="E14" s="324"/>
      <c r="F14" s="322"/>
      <c r="G14" s="325"/>
      <c r="H14" s="326"/>
      <c r="I14" s="329"/>
      <c r="J14" s="329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13" t="e">
        <f t="shared" si="2"/>
        <v>#DIV/0!</v>
      </c>
      <c r="BR14" s="313" t="e">
        <f t="shared" si="3"/>
        <v>#NUM!</v>
      </c>
      <c r="BS14" s="314" t="e">
        <f t="shared" si="4"/>
        <v>#DIV/0!</v>
      </c>
      <c r="BT14" s="314" t="e">
        <f t="shared" si="5"/>
        <v>#DIV/0!</v>
      </c>
      <c r="BU14" s="85">
        <f t="shared" si="0"/>
        <v>0</v>
      </c>
      <c r="BV14" s="79">
        <f t="shared" si="1"/>
        <v>3</v>
      </c>
    </row>
    <row r="15" spans="2:75" x14ac:dyDescent="0.25">
      <c r="B15" s="322">
        <f t="shared" si="6"/>
        <v>10</v>
      </c>
      <c r="C15" s="323"/>
      <c r="D15" s="322"/>
      <c r="E15" s="324"/>
      <c r="F15" s="322"/>
      <c r="G15" s="325"/>
      <c r="H15" s="326"/>
      <c r="I15" s="327"/>
      <c r="J15" s="327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13" t="e">
        <f t="shared" si="2"/>
        <v>#DIV/0!</v>
      </c>
      <c r="BR15" s="313" t="e">
        <f t="shared" si="3"/>
        <v>#NUM!</v>
      </c>
      <c r="BS15" s="314" t="e">
        <f t="shared" si="4"/>
        <v>#DIV/0!</v>
      </c>
      <c r="BT15" s="314" t="e">
        <f t="shared" si="5"/>
        <v>#DIV/0!</v>
      </c>
      <c r="BU15" s="85">
        <f t="shared" si="0"/>
        <v>0</v>
      </c>
      <c r="BV15" s="79">
        <f t="shared" si="1"/>
        <v>3</v>
      </c>
      <c r="BW15" s="86"/>
    </row>
    <row r="16" spans="2:75" x14ac:dyDescent="0.25">
      <c r="B16" s="322">
        <f t="shared" si="6"/>
        <v>11</v>
      </c>
      <c r="C16" s="323"/>
      <c r="D16" s="322"/>
      <c r="E16" s="324"/>
      <c r="F16" s="322"/>
      <c r="G16" s="325"/>
      <c r="H16" s="326"/>
      <c r="I16" s="329"/>
      <c r="J16" s="327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0"/>
      <c r="V16" s="330"/>
      <c r="W16" s="330"/>
      <c r="X16" s="330"/>
      <c r="Y16" s="330"/>
      <c r="Z16" s="330"/>
      <c r="AA16" s="330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0"/>
      <c r="BE16" s="330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13" t="e">
        <f t="shared" si="2"/>
        <v>#DIV/0!</v>
      </c>
      <c r="BR16" s="313" t="e">
        <f t="shared" si="3"/>
        <v>#NUM!</v>
      </c>
      <c r="BS16" s="314" t="e">
        <f t="shared" si="4"/>
        <v>#DIV/0!</v>
      </c>
      <c r="BT16" s="314" t="e">
        <f t="shared" si="5"/>
        <v>#DIV/0!</v>
      </c>
      <c r="BU16" s="85">
        <f t="shared" si="0"/>
        <v>0</v>
      </c>
      <c r="BV16" s="79">
        <f t="shared" si="1"/>
        <v>3</v>
      </c>
    </row>
    <row r="17" spans="2:74" x14ac:dyDescent="0.25">
      <c r="B17" s="322">
        <f t="shared" si="6"/>
        <v>12</v>
      </c>
      <c r="C17" s="323"/>
      <c r="D17" s="322"/>
      <c r="E17" s="324"/>
      <c r="F17" s="322"/>
      <c r="G17" s="325"/>
      <c r="H17" s="326"/>
      <c r="I17" s="327"/>
      <c r="J17" s="327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13" t="e">
        <f t="shared" si="2"/>
        <v>#DIV/0!</v>
      </c>
      <c r="BR17" s="313" t="e">
        <f t="shared" si="3"/>
        <v>#NUM!</v>
      </c>
      <c r="BS17" s="314" t="e">
        <f t="shared" si="4"/>
        <v>#DIV/0!</v>
      </c>
      <c r="BT17" s="314" t="e">
        <f t="shared" si="5"/>
        <v>#DIV/0!</v>
      </c>
      <c r="BU17" s="85">
        <f t="shared" si="0"/>
        <v>0</v>
      </c>
      <c r="BV17" s="79">
        <f t="shared" si="1"/>
        <v>3</v>
      </c>
    </row>
    <row r="18" spans="2:74" x14ac:dyDescent="0.25">
      <c r="B18" s="322">
        <f t="shared" si="6"/>
        <v>13</v>
      </c>
      <c r="C18" s="323"/>
      <c r="D18" s="322"/>
      <c r="E18" s="324"/>
      <c r="F18" s="322"/>
      <c r="G18" s="325"/>
      <c r="H18" s="326"/>
      <c r="I18" s="327"/>
      <c r="J18" s="327"/>
      <c r="K18" s="330"/>
      <c r="L18" s="330"/>
      <c r="M18" s="330"/>
      <c r="N18" s="330"/>
      <c r="O18" s="330"/>
      <c r="P18" s="330"/>
      <c r="Q18" s="330"/>
      <c r="R18" s="330"/>
      <c r="S18" s="330"/>
      <c r="T18" s="330"/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13" t="e">
        <f t="shared" si="2"/>
        <v>#DIV/0!</v>
      </c>
      <c r="BR18" s="313" t="e">
        <f t="shared" si="3"/>
        <v>#NUM!</v>
      </c>
      <c r="BS18" s="314" t="e">
        <f t="shared" si="4"/>
        <v>#DIV/0!</v>
      </c>
      <c r="BT18" s="314" t="e">
        <f t="shared" si="5"/>
        <v>#DIV/0!</v>
      </c>
      <c r="BU18" s="85">
        <f t="shared" si="0"/>
        <v>0</v>
      </c>
      <c r="BV18" s="79">
        <f t="shared" si="1"/>
        <v>3</v>
      </c>
    </row>
    <row r="19" spans="2:74" ht="16.5" customHeight="1" x14ac:dyDescent="0.25">
      <c r="B19" s="322">
        <f t="shared" si="6"/>
        <v>14</v>
      </c>
      <c r="C19" s="323"/>
      <c r="D19" s="322"/>
      <c r="E19" s="324"/>
      <c r="F19" s="322"/>
      <c r="G19" s="325"/>
      <c r="H19" s="326"/>
      <c r="I19" s="327"/>
      <c r="J19" s="327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  <c r="AA19" s="330"/>
      <c r="AB19" s="330"/>
      <c r="AC19" s="330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13" t="e">
        <f t="shared" si="2"/>
        <v>#DIV/0!</v>
      </c>
      <c r="BR19" s="313" t="e">
        <f t="shared" si="3"/>
        <v>#NUM!</v>
      </c>
      <c r="BS19" s="314" t="e">
        <f t="shared" si="4"/>
        <v>#DIV/0!</v>
      </c>
      <c r="BT19" s="314" t="e">
        <f t="shared" si="5"/>
        <v>#DIV/0!</v>
      </c>
      <c r="BU19" s="85">
        <f t="shared" si="0"/>
        <v>0</v>
      </c>
      <c r="BV19" s="79">
        <f t="shared" si="1"/>
        <v>3</v>
      </c>
    </row>
    <row r="20" spans="2:74" x14ac:dyDescent="0.25">
      <c r="B20" s="322">
        <f t="shared" si="6"/>
        <v>15</v>
      </c>
      <c r="C20" s="323"/>
      <c r="D20" s="322"/>
      <c r="E20" s="324"/>
      <c r="F20" s="322"/>
      <c r="G20" s="325"/>
      <c r="H20" s="326"/>
      <c r="I20" s="327"/>
      <c r="J20" s="327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13" t="e">
        <f t="shared" si="2"/>
        <v>#DIV/0!</v>
      </c>
      <c r="BR20" s="313" t="e">
        <f t="shared" si="3"/>
        <v>#NUM!</v>
      </c>
      <c r="BS20" s="314" t="e">
        <f t="shared" si="4"/>
        <v>#DIV/0!</v>
      </c>
      <c r="BT20" s="314" t="e">
        <f t="shared" si="5"/>
        <v>#DIV/0!</v>
      </c>
      <c r="BU20" s="85">
        <f t="shared" si="0"/>
        <v>0</v>
      </c>
      <c r="BV20" s="79">
        <f t="shared" si="1"/>
        <v>3</v>
      </c>
    </row>
    <row r="21" spans="2:74" x14ac:dyDescent="0.25">
      <c r="B21" s="322">
        <f t="shared" si="6"/>
        <v>16</v>
      </c>
      <c r="C21" s="323"/>
      <c r="D21" s="322"/>
      <c r="E21" s="324"/>
      <c r="F21" s="322"/>
      <c r="G21" s="325"/>
      <c r="H21" s="326"/>
      <c r="I21" s="327"/>
      <c r="J21" s="327"/>
      <c r="K21" s="330"/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330"/>
      <c r="AY21" s="330"/>
      <c r="AZ21" s="330"/>
      <c r="BA21" s="330"/>
      <c r="BB21" s="330"/>
      <c r="BC21" s="330"/>
      <c r="BD21" s="330"/>
      <c r="BE21" s="330"/>
      <c r="BF21" s="330"/>
      <c r="BG21" s="330"/>
      <c r="BH21" s="330"/>
      <c r="BI21" s="330"/>
      <c r="BJ21" s="330"/>
      <c r="BK21" s="330"/>
      <c r="BL21" s="330"/>
      <c r="BM21" s="330"/>
      <c r="BN21" s="330"/>
      <c r="BO21" s="330"/>
      <c r="BP21" s="330"/>
      <c r="BQ21" s="313" t="e">
        <f t="shared" si="2"/>
        <v>#DIV/0!</v>
      </c>
      <c r="BR21" s="313" t="e">
        <f t="shared" si="3"/>
        <v>#NUM!</v>
      </c>
      <c r="BS21" s="314" t="e">
        <f t="shared" si="4"/>
        <v>#DIV/0!</v>
      </c>
      <c r="BT21" s="314" t="e">
        <f t="shared" si="5"/>
        <v>#DIV/0!</v>
      </c>
      <c r="BU21" s="85">
        <f t="shared" si="0"/>
        <v>0</v>
      </c>
      <c r="BV21" s="79">
        <f t="shared" si="1"/>
        <v>3</v>
      </c>
    </row>
    <row r="22" spans="2:74" x14ac:dyDescent="0.25">
      <c r="B22" s="322">
        <f t="shared" si="6"/>
        <v>17</v>
      </c>
      <c r="C22" s="323"/>
      <c r="D22" s="322"/>
      <c r="E22" s="324"/>
      <c r="F22" s="322"/>
      <c r="G22" s="325"/>
      <c r="H22" s="326"/>
      <c r="I22" s="327"/>
      <c r="J22" s="327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0"/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/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/>
      <c r="BO22" s="330"/>
      <c r="BP22" s="330"/>
      <c r="BQ22" s="313" t="e">
        <f t="shared" si="2"/>
        <v>#DIV/0!</v>
      </c>
      <c r="BR22" s="313" t="e">
        <f t="shared" si="3"/>
        <v>#NUM!</v>
      </c>
      <c r="BS22" s="314" t="e">
        <f t="shared" si="4"/>
        <v>#DIV/0!</v>
      </c>
      <c r="BT22" s="314" t="e">
        <f t="shared" si="5"/>
        <v>#DIV/0!</v>
      </c>
      <c r="BU22" s="85">
        <f t="shared" si="0"/>
        <v>0</v>
      </c>
      <c r="BV22" s="79">
        <f t="shared" si="1"/>
        <v>3</v>
      </c>
    </row>
    <row r="23" spans="2:74" x14ac:dyDescent="0.25">
      <c r="B23" s="322">
        <f t="shared" si="6"/>
        <v>18</v>
      </c>
      <c r="C23" s="323"/>
      <c r="D23" s="322"/>
      <c r="E23" s="324"/>
      <c r="F23" s="322"/>
      <c r="G23" s="325"/>
      <c r="H23" s="326"/>
      <c r="I23" s="327"/>
      <c r="J23" s="327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0"/>
      <c r="BL23" s="330"/>
      <c r="BM23" s="330"/>
      <c r="BN23" s="330"/>
      <c r="BO23" s="330"/>
      <c r="BP23" s="330"/>
      <c r="BQ23" s="313" t="e">
        <f t="shared" si="2"/>
        <v>#DIV/0!</v>
      </c>
      <c r="BR23" s="313" t="e">
        <f t="shared" si="3"/>
        <v>#NUM!</v>
      </c>
      <c r="BS23" s="314" t="e">
        <f t="shared" si="4"/>
        <v>#DIV/0!</v>
      </c>
      <c r="BT23" s="314" t="e">
        <f t="shared" si="5"/>
        <v>#DIV/0!</v>
      </c>
      <c r="BU23" s="85">
        <f t="shared" si="0"/>
        <v>0</v>
      </c>
      <c r="BV23" s="79">
        <f t="shared" si="1"/>
        <v>3</v>
      </c>
    </row>
    <row r="24" spans="2:74" x14ac:dyDescent="0.25">
      <c r="B24" s="322">
        <f t="shared" si="6"/>
        <v>19</v>
      </c>
      <c r="C24" s="323"/>
      <c r="D24" s="322"/>
      <c r="E24" s="324"/>
      <c r="F24" s="322"/>
      <c r="G24" s="325"/>
      <c r="H24" s="326"/>
      <c r="I24" s="327"/>
      <c r="J24" s="327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0"/>
      <c r="AY24" s="330"/>
      <c r="AZ24" s="330"/>
      <c r="BA24" s="330"/>
      <c r="BB24" s="330"/>
      <c r="BC24" s="330"/>
      <c r="BD24" s="330"/>
      <c r="BE24" s="330"/>
      <c r="BF24" s="330"/>
      <c r="BG24" s="330"/>
      <c r="BH24" s="330"/>
      <c r="BI24" s="330"/>
      <c r="BJ24" s="330"/>
      <c r="BK24" s="330"/>
      <c r="BL24" s="330"/>
      <c r="BM24" s="330"/>
      <c r="BN24" s="330"/>
      <c r="BO24" s="330"/>
      <c r="BP24" s="330"/>
      <c r="BQ24" s="313" t="e">
        <f t="shared" si="2"/>
        <v>#DIV/0!</v>
      </c>
      <c r="BR24" s="313" t="e">
        <f t="shared" si="3"/>
        <v>#NUM!</v>
      </c>
      <c r="BS24" s="314" t="e">
        <f t="shared" si="4"/>
        <v>#DIV/0!</v>
      </c>
      <c r="BT24" s="314" t="e">
        <f t="shared" si="5"/>
        <v>#DIV/0!</v>
      </c>
      <c r="BU24" s="85">
        <f t="shared" si="0"/>
        <v>0</v>
      </c>
      <c r="BV24" s="79">
        <f t="shared" si="1"/>
        <v>3</v>
      </c>
    </row>
    <row r="25" spans="2:74" x14ac:dyDescent="0.25">
      <c r="B25" s="322">
        <f t="shared" si="6"/>
        <v>20</v>
      </c>
      <c r="C25" s="323"/>
      <c r="D25" s="322"/>
      <c r="E25" s="324"/>
      <c r="F25" s="322"/>
      <c r="G25" s="325"/>
      <c r="H25" s="326"/>
      <c r="I25" s="327"/>
      <c r="J25" s="327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330"/>
      <c r="AY25" s="330"/>
      <c r="AZ25" s="330"/>
      <c r="BA25" s="330"/>
      <c r="BB25" s="330"/>
      <c r="BC25" s="330"/>
      <c r="BD25" s="330"/>
      <c r="BE25" s="330"/>
      <c r="BF25" s="330"/>
      <c r="BG25" s="330"/>
      <c r="BH25" s="330"/>
      <c r="BI25" s="330"/>
      <c r="BJ25" s="330"/>
      <c r="BK25" s="330"/>
      <c r="BL25" s="330"/>
      <c r="BM25" s="330"/>
      <c r="BN25" s="330"/>
      <c r="BO25" s="330"/>
      <c r="BP25" s="330"/>
      <c r="BQ25" s="313" t="e">
        <f t="shared" si="2"/>
        <v>#DIV/0!</v>
      </c>
      <c r="BR25" s="313" t="e">
        <f t="shared" si="3"/>
        <v>#NUM!</v>
      </c>
      <c r="BS25" s="314" t="e">
        <f t="shared" si="4"/>
        <v>#DIV/0!</v>
      </c>
      <c r="BT25" s="314" t="e">
        <f t="shared" si="5"/>
        <v>#DIV/0!</v>
      </c>
      <c r="BU25" s="85">
        <f t="shared" si="0"/>
        <v>0</v>
      </c>
      <c r="BV25" s="79">
        <f t="shared" si="1"/>
        <v>3</v>
      </c>
    </row>
    <row r="26" spans="2:74" s="74" customFormat="1" x14ac:dyDescent="0.25">
      <c r="B26" s="322">
        <f t="shared" si="6"/>
        <v>21</v>
      </c>
      <c r="C26" s="323"/>
      <c r="D26" s="322"/>
      <c r="E26" s="324"/>
      <c r="F26" s="322"/>
      <c r="G26" s="325"/>
      <c r="H26" s="326"/>
      <c r="I26" s="326"/>
      <c r="J26" s="326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13" t="e">
        <f t="shared" si="2"/>
        <v>#DIV/0!</v>
      </c>
      <c r="BR26" s="313" t="e">
        <f t="shared" si="3"/>
        <v>#NUM!</v>
      </c>
      <c r="BS26" s="314" t="e">
        <f t="shared" si="4"/>
        <v>#DIV/0!</v>
      </c>
      <c r="BT26" s="321" t="e">
        <f t="shared" si="5"/>
        <v>#DIV/0!</v>
      </c>
      <c r="BU26" s="85">
        <f t="shared" si="0"/>
        <v>0</v>
      </c>
      <c r="BV26" s="74">
        <f t="shared" si="1"/>
        <v>3</v>
      </c>
    </row>
    <row r="27" spans="2:74" x14ac:dyDescent="0.25">
      <c r="B27" s="322">
        <f t="shared" si="6"/>
        <v>22</v>
      </c>
      <c r="C27" s="323"/>
      <c r="D27" s="322"/>
      <c r="E27" s="324"/>
      <c r="F27" s="322"/>
      <c r="G27" s="325"/>
      <c r="H27" s="326"/>
      <c r="I27" s="327"/>
      <c r="J27" s="327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0"/>
      <c r="BG27" s="330"/>
      <c r="BH27" s="330"/>
      <c r="BI27" s="330"/>
      <c r="BJ27" s="330"/>
      <c r="BK27" s="330"/>
      <c r="BL27" s="330"/>
      <c r="BM27" s="330"/>
      <c r="BN27" s="330"/>
      <c r="BO27" s="330"/>
      <c r="BP27" s="330"/>
      <c r="BQ27" s="313" t="e">
        <f t="shared" si="2"/>
        <v>#DIV/0!</v>
      </c>
      <c r="BR27" s="313" t="e">
        <f t="shared" si="3"/>
        <v>#NUM!</v>
      </c>
      <c r="BS27" s="314" t="e">
        <f t="shared" si="4"/>
        <v>#DIV/0!</v>
      </c>
      <c r="BT27" s="314" t="e">
        <f t="shared" si="5"/>
        <v>#DIV/0!</v>
      </c>
      <c r="BU27" s="85">
        <f t="shared" si="0"/>
        <v>0</v>
      </c>
      <c r="BV27" s="79">
        <f t="shared" si="1"/>
        <v>3</v>
      </c>
    </row>
    <row r="28" spans="2:74" x14ac:dyDescent="0.25">
      <c r="B28" s="322">
        <f t="shared" si="6"/>
        <v>23</v>
      </c>
      <c r="C28" s="323"/>
      <c r="D28" s="322"/>
      <c r="E28" s="324"/>
      <c r="F28" s="322"/>
      <c r="G28" s="325"/>
      <c r="H28" s="326"/>
      <c r="I28" s="327"/>
      <c r="J28" s="327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330"/>
      <c r="AY28" s="330"/>
      <c r="AZ28" s="330"/>
      <c r="BA28" s="330"/>
      <c r="BB28" s="330"/>
      <c r="BC28" s="330"/>
      <c r="BD28" s="330"/>
      <c r="BE28" s="330"/>
      <c r="BF28" s="330"/>
      <c r="BG28" s="330"/>
      <c r="BH28" s="330"/>
      <c r="BI28" s="330"/>
      <c r="BJ28" s="330"/>
      <c r="BK28" s="330"/>
      <c r="BL28" s="330"/>
      <c r="BM28" s="330"/>
      <c r="BN28" s="330"/>
      <c r="BO28" s="330"/>
      <c r="BP28" s="330"/>
      <c r="BQ28" s="313" t="e">
        <f t="shared" si="2"/>
        <v>#DIV/0!</v>
      </c>
      <c r="BR28" s="313" t="e">
        <f t="shared" si="3"/>
        <v>#NUM!</v>
      </c>
      <c r="BS28" s="314" t="e">
        <f t="shared" si="4"/>
        <v>#DIV/0!</v>
      </c>
      <c r="BT28" s="314" t="e">
        <f t="shared" si="5"/>
        <v>#DIV/0!</v>
      </c>
      <c r="BU28" s="85">
        <f t="shared" si="0"/>
        <v>0</v>
      </c>
      <c r="BV28" s="79">
        <f t="shared" si="1"/>
        <v>3</v>
      </c>
    </row>
    <row r="29" spans="2:74" x14ac:dyDescent="0.25">
      <c r="B29" s="322">
        <f t="shared" si="6"/>
        <v>24</v>
      </c>
      <c r="C29" s="323"/>
      <c r="D29" s="322"/>
      <c r="E29" s="324"/>
      <c r="F29" s="322"/>
      <c r="G29" s="325"/>
      <c r="H29" s="326"/>
      <c r="I29" s="327"/>
      <c r="J29" s="327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13" t="e">
        <f t="shared" si="2"/>
        <v>#DIV/0!</v>
      </c>
      <c r="BR29" s="313" t="e">
        <f t="shared" si="3"/>
        <v>#NUM!</v>
      </c>
      <c r="BS29" s="314" t="e">
        <f t="shared" si="4"/>
        <v>#DIV/0!</v>
      </c>
      <c r="BT29" s="314" t="e">
        <f t="shared" si="5"/>
        <v>#DIV/0!</v>
      </c>
      <c r="BU29" s="85">
        <f t="shared" si="0"/>
        <v>0</v>
      </c>
      <c r="BV29" s="79">
        <f t="shared" si="1"/>
        <v>3</v>
      </c>
    </row>
    <row r="30" spans="2:74" x14ac:dyDescent="0.25">
      <c r="B30" s="322">
        <f t="shared" si="6"/>
        <v>25</v>
      </c>
      <c r="C30" s="323"/>
      <c r="D30" s="322"/>
      <c r="E30" s="324"/>
      <c r="F30" s="322"/>
      <c r="G30" s="325"/>
      <c r="H30" s="326"/>
      <c r="I30" s="327"/>
      <c r="J30" s="327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330"/>
      <c r="BQ30" s="313" t="e">
        <f t="shared" si="2"/>
        <v>#DIV/0!</v>
      </c>
      <c r="BR30" s="313" t="e">
        <f t="shared" si="3"/>
        <v>#NUM!</v>
      </c>
      <c r="BS30" s="314" t="e">
        <f t="shared" si="4"/>
        <v>#DIV/0!</v>
      </c>
      <c r="BT30" s="314" t="e">
        <f t="shared" si="5"/>
        <v>#DIV/0!</v>
      </c>
      <c r="BU30" s="85">
        <f t="shared" si="0"/>
        <v>0</v>
      </c>
      <c r="BV30" s="79">
        <f t="shared" si="1"/>
        <v>3</v>
      </c>
    </row>
    <row r="31" spans="2:74" x14ac:dyDescent="0.25">
      <c r="B31" s="322">
        <f t="shared" si="6"/>
        <v>26</v>
      </c>
      <c r="C31" s="323"/>
      <c r="D31" s="322"/>
      <c r="E31" s="324"/>
      <c r="F31" s="322"/>
      <c r="G31" s="325"/>
      <c r="H31" s="326"/>
      <c r="I31" s="327"/>
      <c r="J31" s="327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330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330"/>
      <c r="BQ31" s="313" t="e">
        <f t="shared" si="2"/>
        <v>#DIV/0!</v>
      </c>
      <c r="BR31" s="313" t="e">
        <f t="shared" si="3"/>
        <v>#NUM!</v>
      </c>
      <c r="BS31" s="314" t="e">
        <f t="shared" si="4"/>
        <v>#DIV/0!</v>
      </c>
      <c r="BT31" s="314" t="e">
        <f t="shared" si="5"/>
        <v>#DIV/0!</v>
      </c>
      <c r="BU31" s="85">
        <f t="shared" si="0"/>
        <v>0</v>
      </c>
      <c r="BV31" s="79">
        <f t="shared" si="1"/>
        <v>3</v>
      </c>
    </row>
    <row r="32" spans="2:74" x14ac:dyDescent="0.25">
      <c r="B32" s="322">
        <f t="shared" si="6"/>
        <v>27</v>
      </c>
      <c r="C32" s="323"/>
      <c r="D32" s="322"/>
      <c r="E32" s="324"/>
      <c r="F32" s="322"/>
      <c r="G32" s="325"/>
      <c r="H32" s="326"/>
      <c r="I32" s="327"/>
      <c r="J32" s="327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13" t="e">
        <f t="shared" si="2"/>
        <v>#DIV/0!</v>
      </c>
      <c r="BR32" s="313" t="e">
        <f t="shared" si="3"/>
        <v>#NUM!</v>
      </c>
      <c r="BS32" s="314" t="e">
        <f t="shared" si="4"/>
        <v>#DIV/0!</v>
      </c>
      <c r="BT32" s="314" t="e">
        <f t="shared" si="5"/>
        <v>#DIV/0!</v>
      </c>
      <c r="BU32" s="85">
        <f t="shared" si="0"/>
        <v>0</v>
      </c>
      <c r="BV32" s="79">
        <f t="shared" si="1"/>
        <v>3</v>
      </c>
    </row>
    <row r="33" spans="2:74" x14ac:dyDescent="0.25">
      <c r="B33" s="322">
        <f t="shared" si="6"/>
        <v>28</v>
      </c>
      <c r="C33" s="323"/>
      <c r="D33" s="322"/>
      <c r="E33" s="324"/>
      <c r="F33" s="322"/>
      <c r="G33" s="325"/>
      <c r="H33" s="326"/>
      <c r="I33" s="327"/>
      <c r="J33" s="327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2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0"/>
      <c r="BQ33" s="313" t="e">
        <f t="shared" si="2"/>
        <v>#DIV/0!</v>
      </c>
      <c r="BR33" s="313" t="e">
        <f t="shared" si="3"/>
        <v>#NUM!</v>
      </c>
      <c r="BS33" s="314" t="e">
        <f t="shared" si="4"/>
        <v>#DIV/0!</v>
      </c>
      <c r="BT33" s="314" t="e">
        <f t="shared" si="5"/>
        <v>#DIV/0!</v>
      </c>
      <c r="BU33" s="85">
        <f t="shared" si="0"/>
        <v>0</v>
      </c>
      <c r="BV33" s="79">
        <f t="shared" si="1"/>
        <v>3</v>
      </c>
    </row>
    <row r="34" spans="2:74" x14ac:dyDescent="0.25">
      <c r="B34" s="322">
        <f t="shared" si="6"/>
        <v>29</v>
      </c>
      <c r="C34" s="323"/>
      <c r="D34" s="322"/>
      <c r="E34" s="324"/>
      <c r="F34" s="322"/>
      <c r="G34" s="325"/>
      <c r="H34" s="326"/>
      <c r="I34" s="327"/>
      <c r="J34" s="327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313" t="e">
        <f t="shared" si="2"/>
        <v>#DIV/0!</v>
      </c>
      <c r="BR34" s="313" t="e">
        <f t="shared" si="3"/>
        <v>#NUM!</v>
      </c>
      <c r="BS34" s="314" t="e">
        <f t="shared" si="4"/>
        <v>#DIV/0!</v>
      </c>
      <c r="BT34" s="314" t="e">
        <f t="shared" si="5"/>
        <v>#DIV/0!</v>
      </c>
      <c r="BU34" s="85">
        <f t="shared" si="0"/>
        <v>0</v>
      </c>
      <c r="BV34" s="79">
        <f t="shared" si="1"/>
        <v>3</v>
      </c>
    </row>
    <row r="35" spans="2:74" x14ac:dyDescent="0.25">
      <c r="B35" s="322">
        <f t="shared" si="6"/>
        <v>30</v>
      </c>
      <c r="C35" s="323"/>
      <c r="D35" s="322"/>
      <c r="E35" s="324"/>
      <c r="F35" s="322"/>
      <c r="G35" s="325"/>
      <c r="H35" s="326"/>
      <c r="I35" s="329"/>
      <c r="J35" s="327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13" t="e">
        <f t="shared" si="2"/>
        <v>#DIV/0!</v>
      </c>
      <c r="BR35" s="313" t="e">
        <f t="shared" si="3"/>
        <v>#NUM!</v>
      </c>
      <c r="BS35" s="314" t="e">
        <f t="shared" si="4"/>
        <v>#DIV/0!</v>
      </c>
      <c r="BT35" s="314" t="e">
        <f t="shared" si="5"/>
        <v>#DIV/0!</v>
      </c>
      <c r="BU35" s="85">
        <f t="shared" si="0"/>
        <v>0</v>
      </c>
      <c r="BV35" s="79">
        <f t="shared" si="1"/>
        <v>3</v>
      </c>
    </row>
    <row r="36" spans="2:74" x14ac:dyDescent="0.25">
      <c r="B36" s="322">
        <f>B35+1</f>
        <v>31</v>
      </c>
      <c r="C36" s="333"/>
      <c r="D36" s="334"/>
      <c r="E36" s="335"/>
      <c r="F36" s="322"/>
      <c r="G36" s="325"/>
      <c r="H36" s="326"/>
      <c r="I36" s="327"/>
      <c r="J36" s="327"/>
      <c r="K36" s="327"/>
      <c r="L36" s="336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13" t="e">
        <f t="shared" si="2"/>
        <v>#DIV/0!</v>
      </c>
      <c r="BR36" s="313" t="e">
        <f t="shared" si="3"/>
        <v>#NUM!</v>
      </c>
      <c r="BS36" s="314" t="e">
        <f t="shared" si="4"/>
        <v>#DIV/0!</v>
      </c>
      <c r="BT36" s="315" t="e">
        <f t="shared" ref="BT36:BT75" si="7">BS36*F36</f>
        <v>#DIV/0!</v>
      </c>
      <c r="BU36" s="87">
        <f t="shared" ref="BU36:BU75" si="8">F36*G36</f>
        <v>0</v>
      </c>
      <c r="BV36" s="79">
        <f t="shared" ref="BV36:BV75" si="9">IF(COUNTA(G36:BP36)&gt;=3,"ok",3-COUNTA(G36:BP36))</f>
        <v>3</v>
      </c>
    </row>
    <row r="37" spans="2:74" x14ac:dyDescent="0.25">
      <c r="B37" s="322">
        <f>B36+1</f>
        <v>32</v>
      </c>
      <c r="C37" s="333"/>
      <c r="D37" s="334"/>
      <c r="E37" s="335"/>
      <c r="F37" s="322"/>
      <c r="G37" s="325"/>
      <c r="H37" s="326"/>
      <c r="I37" s="327"/>
      <c r="J37" s="327"/>
      <c r="K37" s="327"/>
      <c r="L37" s="336"/>
      <c r="M37" s="327"/>
      <c r="N37" s="327"/>
      <c r="O37" s="336"/>
      <c r="P37" s="336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13" t="e">
        <f t="shared" si="2"/>
        <v>#DIV/0!</v>
      </c>
      <c r="BR37" s="313" t="e">
        <f t="shared" si="3"/>
        <v>#NUM!</v>
      </c>
      <c r="BS37" s="314" t="e">
        <f t="shared" si="4"/>
        <v>#DIV/0!</v>
      </c>
      <c r="BT37" s="315" t="e">
        <f t="shared" si="7"/>
        <v>#DIV/0!</v>
      </c>
      <c r="BU37" s="87">
        <f t="shared" si="8"/>
        <v>0</v>
      </c>
      <c r="BV37" s="79">
        <f t="shared" si="9"/>
        <v>3</v>
      </c>
    </row>
    <row r="38" spans="2:74" x14ac:dyDescent="0.25">
      <c r="B38" s="322">
        <f t="shared" ref="B38:B75" si="10">B37+1</f>
        <v>33</v>
      </c>
      <c r="C38" s="333"/>
      <c r="D38" s="334"/>
      <c r="E38" s="335"/>
      <c r="F38" s="322"/>
      <c r="G38" s="325"/>
      <c r="H38" s="326"/>
      <c r="I38" s="329"/>
      <c r="J38" s="329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13" t="e">
        <f t="shared" si="2"/>
        <v>#DIV/0!</v>
      </c>
      <c r="BR38" s="313" t="e">
        <f t="shared" si="3"/>
        <v>#NUM!</v>
      </c>
      <c r="BS38" s="314" t="e">
        <f t="shared" si="4"/>
        <v>#DIV/0!</v>
      </c>
      <c r="BT38" s="315" t="e">
        <f t="shared" si="7"/>
        <v>#DIV/0!</v>
      </c>
      <c r="BU38" s="87">
        <f t="shared" si="8"/>
        <v>0</v>
      </c>
      <c r="BV38" s="79">
        <f t="shared" si="9"/>
        <v>3</v>
      </c>
    </row>
    <row r="39" spans="2:74" x14ac:dyDescent="0.25">
      <c r="B39" s="322">
        <f t="shared" si="10"/>
        <v>34</v>
      </c>
      <c r="C39" s="333"/>
      <c r="D39" s="334"/>
      <c r="E39" s="335"/>
      <c r="F39" s="322"/>
      <c r="G39" s="325"/>
      <c r="H39" s="326"/>
      <c r="I39" s="329"/>
      <c r="J39" s="329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13" t="e">
        <f t="shared" si="2"/>
        <v>#DIV/0!</v>
      </c>
      <c r="BR39" s="313" t="e">
        <f t="shared" si="3"/>
        <v>#NUM!</v>
      </c>
      <c r="BS39" s="314" t="e">
        <f t="shared" si="4"/>
        <v>#DIV/0!</v>
      </c>
      <c r="BT39" s="315" t="e">
        <f t="shared" si="7"/>
        <v>#DIV/0!</v>
      </c>
      <c r="BU39" s="87">
        <f t="shared" si="8"/>
        <v>0</v>
      </c>
      <c r="BV39" s="79">
        <f t="shared" si="9"/>
        <v>3</v>
      </c>
    </row>
    <row r="40" spans="2:74" x14ac:dyDescent="0.25">
      <c r="B40" s="322">
        <f t="shared" si="10"/>
        <v>35</v>
      </c>
      <c r="C40" s="333"/>
      <c r="D40" s="334"/>
      <c r="E40" s="335"/>
      <c r="F40" s="322"/>
      <c r="G40" s="325"/>
      <c r="H40" s="326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13" t="e">
        <f t="shared" si="2"/>
        <v>#DIV/0!</v>
      </c>
      <c r="BR40" s="313" t="e">
        <f t="shared" si="3"/>
        <v>#NUM!</v>
      </c>
      <c r="BS40" s="314" t="e">
        <f t="shared" si="4"/>
        <v>#DIV/0!</v>
      </c>
      <c r="BT40" s="315" t="e">
        <f t="shared" si="7"/>
        <v>#DIV/0!</v>
      </c>
      <c r="BU40" s="87">
        <f t="shared" si="8"/>
        <v>0</v>
      </c>
      <c r="BV40" s="79">
        <f t="shared" si="9"/>
        <v>3</v>
      </c>
    </row>
    <row r="41" spans="2:74" ht="21" customHeight="1" x14ac:dyDescent="0.25">
      <c r="B41" s="322">
        <f t="shared" si="10"/>
        <v>36</v>
      </c>
      <c r="C41" s="333"/>
      <c r="D41" s="334"/>
      <c r="E41" s="335"/>
      <c r="F41" s="322"/>
      <c r="G41" s="325"/>
      <c r="H41" s="326"/>
      <c r="I41" s="329"/>
      <c r="J41" s="329"/>
      <c r="K41" s="327"/>
      <c r="L41" s="327"/>
      <c r="M41" s="327"/>
      <c r="N41" s="327"/>
      <c r="O41" s="327"/>
      <c r="P41" s="327"/>
      <c r="Q41" s="336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13" t="e">
        <f t="shared" si="2"/>
        <v>#DIV/0!</v>
      </c>
      <c r="BR41" s="313" t="e">
        <f t="shared" si="3"/>
        <v>#NUM!</v>
      </c>
      <c r="BS41" s="314" t="e">
        <f t="shared" si="4"/>
        <v>#DIV/0!</v>
      </c>
      <c r="BT41" s="315" t="e">
        <f t="shared" si="7"/>
        <v>#DIV/0!</v>
      </c>
      <c r="BU41" s="87">
        <f t="shared" si="8"/>
        <v>0</v>
      </c>
      <c r="BV41" s="79">
        <f t="shared" si="9"/>
        <v>3</v>
      </c>
    </row>
    <row r="42" spans="2:74" x14ac:dyDescent="0.25">
      <c r="B42" s="322">
        <f t="shared" si="10"/>
        <v>37</v>
      </c>
      <c r="C42" s="333"/>
      <c r="D42" s="334"/>
      <c r="E42" s="335"/>
      <c r="F42" s="322"/>
      <c r="G42" s="325"/>
      <c r="H42" s="326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13" t="e">
        <f t="shared" si="2"/>
        <v>#DIV/0!</v>
      </c>
      <c r="BR42" s="313" t="e">
        <f t="shared" si="3"/>
        <v>#NUM!</v>
      </c>
      <c r="BS42" s="314" t="e">
        <f t="shared" si="4"/>
        <v>#DIV/0!</v>
      </c>
      <c r="BT42" s="315" t="e">
        <f t="shared" si="7"/>
        <v>#DIV/0!</v>
      </c>
      <c r="BU42" s="87">
        <f t="shared" si="8"/>
        <v>0</v>
      </c>
      <c r="BV42" s="79">
        <f t="shared" si="9"/>
        <v>3</v>
      </c>
    </row>
    <row r="43" spans="2:74" x14ac:dyDescent="0.25">
      <c r="B43" s="322">
        <f t="shared" si="10"/>
        <v>38</v>
      </c>
      <c r="C43" s="333"/>
      <c r="D43" s="334"/>
      <c r="E43" s="335"/>
      <c r="F43" s="322"/>
      <c r="G43" s="325"/>
      <c r="H43" s="326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13" t="e">
        <f t="shared" si="2"/>
        <v>#DIV/0!</v>
      </c>
      <c r="BR43" s="313" t="e">
        <f t="shared" si="3"/>
        <v>#NUM!</v>
      </c>
      <c r="BS43" s="314" t="e">
        <f t="shared" si="4"/>
        <v>#DIV/0!</v>
      </c>
      <c r="BT43" s="315" t="e">
        <f t="shared" si="7"/>
        <v>#DIV/0!</v>
      </c>
      <c r="BU43" s="87">
        <f t="shared" si="8"/>
        <v>0</v>
      </c>
      <c r="BV43" s="79">
        <f t="shared" si="9"/>
        <v>3</v>
      </c>
    </row>
    <row r="44" spans="2:74" x14ac:dyDescent="0.25">
      <c r="B44" s="322">
        <f t="shared" si="10"/>
        <v>39</v>
      </c>
      <c r="C44" s="333"/>
      <c r="D44" s="334"/>
      <c r="E44" s="335"/>
      <c r="F44" s="322"/>
      <c r="G44" s="325"/>
      <c r="H44" s="326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13" t="e">
        <f t="shared" si="2"/>
        <v>#DIV/0!</v>
      </c>
      <c r="BR44" s="313" t="e">
        <f t="shared" si="3"/>
        <v>#NUM!</v>
      </c>
      <c r="BS44" s="314" t="e">
        <f t="shared" si="4"/>
        <v>#DIV/0!</v>
      </c>
      <c r="BT44" s="315" t="e">
        <f t="shared" si="7"/>
        <v>#DIV/0!</v>
      </c>
      <c r="BU44" s="87">
        <f t="shared" si="8"/>
        <v>0</v>
      </c>
      <c r="BV44" s="79">
        <f t="shared" si="9"/>
        <v>3</v>
      </c>
    </row>
    <row r="45" spans="2:74" x14ac:dyDescent="0.25">
      <c r="B45" s="322">
        <f t="shared" si="10"/>
        <v>40</v>
      </c>
      <c r="C45" s="333"/>
      <c r="D45" s="334"/>
      <c r="E45" s="335"/>
      <c r="F45" s="322"/>
      <c r="G45" s="325"/>
      <c r="H45" s="326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13" t="e">
        <f t="shared" si="2"/>
        <v>#DIV/0!</v>
      </c>
      <c r="BR45" s="313" t="e">
        <f t="shared" si="3"/>
        <v>#NUM!</v>
      </c>
      <c r="BS45" s="314" t="e">
        <f t="shared" si="4"/>
        <v>#DIV/0!</v>
      </c>
      <c r="BT45" s="315" t="e">
        <f t="shared" si="7"/>
        <v>#DIV/0!</v>
      </c>
      <c r="BU45" s="87">
        <f t="shared" si="8"/>
        <v>0</v>
      </c>
      <c r="BV45" s="79">
        <f t="shared" si="9"/>
        <v>3</v>
      </c>
    </row>
    <row r="46" spans="2:74" x14ac:dyDescent="0.25">
      <c r="B46" s="322">
        <f t="shared" si="10"/>
        <v>41</v>
      </c>
      <c r="C46" s="333"/>
      <c r="D46" s="334"/>
      <c r="E46" s="335"/>
      <c r="F46" s="322"/>
      <c r="G46" s="325"/>
      <c r="H46" s="326"/>
      <c r="I46" s="329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13" t="e">
        <f t="shared" si="2"/>
        <v>#DIV/0!</v>
      </c>
      <c r="BR46" s="313" t="e">
        <f t="shared" si="3"/>
        <v>#NUM!</v>
      </c>
      <c r="BS46" s="314" t="e">
        <f t="shared" si="4"/>
        <v>#DIV/0!</v>
      </c>
      <c r="BT46" s="315" t="e">
        <f t="shared" si="7"/>
        <v>#DIV/0!</v>
      </c>
      <c r="BU46" s="87">
        <f t="shared" si="8"/>
        <v>0</v>
      </c>
      <c r="BV46" s="79">
        <f t="shared" si="9"/>
        <v>3</v>
      </c>
    </row>
    <row r="47" spans="2:74" x14ac:dyDescent="0.25">
      <c r="B47" s="322">
        <f t="shared" si="10"/>
        <v>42</v>
      </c>
      <c r="C47" s="333"/>
      <c r="D47" s="334"/>
      <c r="E47" s="335"/>
      <c r="F47" s="322"/>
      <c r="G47" s="325"/>
      <c r="H47" s="326"/>
      <c r="I47" s="329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36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13" t="e">
        <f t="shared" si="2"/>
        <v>#DIV/0!</v>
      </c>
      <c r="BR47" s="313" t="e">
        <f t="shared" si="3"/>
        <v>#NUM!</v>
      </c>
      <c r="BS47" s="314" t="e">
        <f t="shared" si="4"/>
        <v>#DIV/0!</v>
      </c>
      <c r="BT47" s="315" t="e">
        <f t="shared" si="7"/>
        <v>#DIV/0!</v>
      </c>
      <c r="BU47" s="87">
        <f t="shared" si="8"/>
        <v>0</v>
      </c>
      <c r="BV47" s="79">
        <f t="shared" si="9"/>
        <v>3</v>
      </c>
    </row>
    <row r="48" spans="2:74" x14ac:dyDescent="0.25">
      <c r="B48" s="322">
        <f t="shared" si="10"/>
        <v>43</v>
      </c>
      <c r="C48" s="333"/>
      <c r="D48" s="334"/>
      <c r="E48" s="335"/>
      <c r="F48" s="322"/>
      <c r="G48" s="325"/>
      <c r="H48" s="326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36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13" t="e">
        <f t="shared" si="2"/>
        <v>#DIV/0!</v>
      </c>
      <c r="BR48" s="313" t="e">
        <f t="shared" si="3"/>
        <v>#NUM!</v>
      </c>
      <c r="BS48" s="314" t="e">
        <f t="shared" si="4"/>
        <v>#DIV/0!</v>
      </c>
      <c r="BT48" s="315" t="e">
        <f t="shared" si="7"/>
        <v>#DIV/0!</v>
      </c>
      <c r="BU48" s="87">
        <f t="shared" si="8"/>
        <v>0</v>
      </c>
      <c r="BV48" s="79">
        <f t="shared" si="9"/>
        <v>3</v>
      </c>
    </row>
    <row r="49" spans="2:74" x14ac:dyDescent="0.25">
      <c r="B49" s="322">
        <f t="shared" si="10"/>
        <v>44</v>
      </c>
      <c r="C49" s="333"/>
      <c r="D49" s="334"/>
      <c r="E49" s="335"/>
      <c r="F49" s="322"/>
      <c r="G49" s="325"/>
      <c r="H49" s="326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36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13" t="e">
        <f t="shared" si="2"/>
        <v>#DIV/0!</v>
      </c>
      <c r="BR49" s="313" t="e">
        <f t="shared" si="3"/>
        <v>#NUM!</v>
      </c>
      <c r="BS49" s="314" t="e">
        <f t="shared" si="4"/>
        <v>#DIV/0!</v>
      </c>
      <c r="BT49" s="315" t="e">
        <f t="shared" si="7"/>
        <v>#DIV/0!</v>
      </c>
      <c r="BU49" s="87">
        <f t="shared" si="8"/>
        <v>0</v>
      </c>
      <c r="BV49" s="79">
        <f t="shared" si="9"/>
        <v>3</v>
      </c>
    </row>
    <row r="50" spans="2:74" x14ac:dyDescent="0.25">
      <c r="B50" s="322">
        <f t="shared" si="10"/>
        <v>45</v>
      </c>
      <c r="C50" s="333"/>
      <c r="D50" s="334"/>
      <c r="E50" s="335"/>
      <c r="F50" s="322"/>
      <c r="G50" s="325"/>
      <c r="H50" s="326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7"/>
      <c r="AB50" s="327"/>
      <c r="AC50" s="327"/>
      <c r="AD50" s="327"/>
      <c r="AE50" s="327"/>
      <c r="AF50" s="327"/>
      <c r="AG50" s="327"/>
      <c r="AH50" s="327"/>
      <c r="AI50" s="327"/>
      <c r="AJ50" s="327"/>
      <c r="AK50" s="327"/>
      <c r="AL50" s="327"/>
      <c r="AM50" s="327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13" t="e">
        <f t="shared" si="2"/>
        <v>#DIV/0!</v>
      </c>
      <c r="BR50" s="313" t="e">
        <f t="shared" si="3"/>
        <v>#NUM!</v>
      </c>
      <c r="BS50" s="314" t="e">
        <f t="shared" si="4"/>
        <v>#DIV/0!</v>
      </c>
      <c r="BT50" s="315" t="e">
        <f t="shared" si="7"/>
        <v>#DIV/0!</v>
      </c>
      <c r="BU50" s="87">
        <f t="shared" si="8"/>
        <v>0</v>
      </c>
      <c r="BV50" s="79">
        <f t="shared" si="9"/>
        <v>3</v>
      </c>
    </row>
    <row r="51" spans="2:74" x14ac:dyDescent="0.25">
      <c r="B51" s="322">
        <f t="shared" si="10"/>
        <v>46</v>
      </c>
      <c r="C51" s="333"/>
      <c r="D51" s="334"/>
      <c r="E51" s="335"/>
      <c r="F51" s="322"/>
      <c r="G51" s="325"/>
      <c r="H51" s="326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  <c r="W51" s="327"/>
      <c r="X51" s="327"/>
      <c r="Y51" s="327"/>
      <c r="Z51" s="327"/>
      <c r="AA51" s="327"/>
      <c r="AB51" s="327"/>
      <c r="AC51" s="327"/>
      <c r="AD51" s="327"/>
      <c r="AE51" s="327"/>
      <c r="AF51" s="327"/>
      <c r="AG51" s="327"/>
      <c r="AH51" s="327"/>
      <c r="AI51" s="327"/>
      <c r="AJ51" s="327"/>
      <c r="AK51" s="327"/>
      <c r="AL51" s="327"/>
      <c r="AM51" s="327"/>
      <c r="AN51" s="327"/>
      <c r="AO51" s="327"/>
      <c r="AP51" s="327"/>
      <c r="AQ51" s="327"/>
      <c r="AR51" s="327"/>
      <c r="AS51" s="327"/>
      <c r="AT51" s="327"/>
      <c r="AU51" s="327"/>
      <c r="AV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13" t="e">
        <f t="shared" si="2"/>
        <v>#DIV/0!</v>
      </c>
      <c r="BR51" s="313" t="e">
        <f t="shared" si="3"/>
        <v>#NUM!</v>
      </c>
      <c r="BS51" s="314" t="e">
        <f t="shared" si="4"/>
        <v>#DIV/0!</v>
      </c>
      <c r="BT51" s="315" t="e">
        <f t="shared" si="7"/>
        <v>#DIV/0!</v>
      </c>
      <c r="BU51" s="87">
        <f t="shared" si="8"/>
        <v>0</v>
      </c>
      <c r="BV51" s="79">
        <f t="shared" si="9"/>
        <v>3</v>
      </c>
    </row>
    <row r="52" spans="2:74" x14ac:dyDescent="0.25">
      <c r="B52" s="322">
        <f t="shared" si="10"/>
        <v>47</v>
      </c>
      <c r="C52" s="333"/>
      <c r="D52" s="334"/>
      <c r="E52" s="335"/>
      <c r="F52" s="322"/>
      <c r="G52" s="325"/>
      <c r="H52" s="326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13" t="e">
        <f t="shared" si="2"/>
        <v>#DIV/0!</v>
      </c>
      <c r="BR52" s="313" t="e">
        <f t="shared" si="3"/>
        <v>#NUM!</v>
      </c>
      <c r="BS52" s="314" t="e">
        <f t="shared" si="4"/>
        <v>#DIV/0!</v>
      </c>
      <c r="BT52" s="315" t="e">
        <f t="shared" si="7"/>
        <v>#DIV/0!</v>
      </c>
      <c r="BU52" s="87">
        <f t="shared" si="8"/>
        <v>0</v>
      </c>
      <c r="BV52" s="79">
        <f t="shared" si="9"/>
        <v>3</v>
      </c>
    </row>
    <row r="53" spans="2:74" x14ac:dyDescent="0.25">
      <c r="B53" s="322">
        <f t="shared" si="10"/>
        <v>48</v>
      </c>
      <c r="C53" s="333"/>
      <c r="D53" s="334"/>
      <c r="E53" s="335"/>
      <c r="F53" s="322"/>
      <c r="G53" s="325"/>
      <c r="H53" s="326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13" t="e">
        <f t="shared" si="2"/>
        <v>#DIV/0!</v>
      </c>
      <c r="BR53" s="313" t="e">
        <f t="shared" si="3"/>
        <v>#NUM!</v>
      </c>
      <c r="BS53" s="314" t="e">
        <f t="shared" si="4"/>
        <v>#DIV/0!</v>
      </c>
      <c r="BT53" s="315" t="e">
        <f t="shared" si="7"/>
        <v>#DIV/0!</v>
      </c>
      <c r="BU53" s="87">
        <f t="shared" si="8"/>
        <v>0</v>
      </c>
      <c r="BV53" s="79">
        <f t="shared" si="9"/>
        <v>3</v>
      </c>
    </row>
    <row r="54" spans="2:74" ht="16.5" customHeight="1" x14ac:dyDescent="0.25">
      <c r="B54" s="322">
        <f t="shared" si="10"/>
        <v>49</v>
      </c>
      <c r="C54" s="333"/>
      <c r="D54" s="334"/>
      <c r="E54" s="333"/>
      <c r="F54" s="322"/>
      <c r="G54" s="325"/>
      <c r="H54" s="326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13" t="e">
        <f t="shared" si="2"/>
        <v>#DIV/0!</v>
      </c>
      <c r="BR54" s="313" t="e">
        <f t="shared" si="3"/>
        <v>#NUM!</v>
      </c>
      <c r="BS54" s="314" t="e">
        <f t="shared" si="4"/>
        <v>#DIV/0!</v>
      </c>
      <c r="BT54" s="315" t="e">
        <f t="shared" si="7"/>
        <v>#DIV/0!</v>
      </c>
      <c r="BU54" s="87">
        <f t="shared" si="8"/>
        <v>0</v>
      </c>
      <c r="BV54" s="79">
        <f t="shared" si="9"/>
        <v>3</v>
      </c>
    </row>
    <row r="55" spans="2:74" x14ac:dyDescent="0.25">
      <c r="B55" s="322">
        <f t="shared" si="10"/>
        <v>50</v>
      </c>
      <c r="C55" s="333"/>
      <c r="D55" s="334"/>
      <c r="E55" s="335"/>
      <c r="F55" s="322"/>
      <c r="G55" s="325"/>
      <c r="H55" s="326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13" t="e">
        <f t="shared" si="2"/>
        <v>#DIV/0!</v>
      </c>
      <c r="BR55" s="313" t="e">
        <f t="shared" si="3"/>
        <v>#NUM!</v>
      </c>
      <c r="BS55" s="314" t="e">
        <f t="shared" si="4"/>
        <v>#DIV/0!</v>
      </c>
      <c r="BT55" s="315" t="e">
        <f t="shared" si="7"/>
        <v>#DIV/0!</v>
      </c>
      <c r="BU55" s="87">
        <f t="shared" si="8"/>
        <v>0</v>
      </c>
      <c r="BV55" s="79">
        <f t="shared" si="9"/>
        <v>3</v>
      </c>
    </row>
    <row r="56" spans="2:74" x14ac:dyDescent="0.25">
      <c r="B56" s="322">
        <f t="shared" si="10"/>
        <v>51</v>
      </c>
      <c r="C56" s="333"/>
      <c r="D56" s="334"/>
      <c r="E56" s="335"/>
      <c r="F56" s="322"/>
      <c r="G56" s="325"/>
      <c r="H56" s="326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13" t="e">
        <f t="shared" si="2"/>
        <v>#DIV/0!</v>
      </c>
      <c r="BR56" s="313" t="e">
        <f t="shared" si="3"/>
        <v>#NUM!</v>
      </c>
      <c r="BS56" s="314" t="e">
        <f t="shared" si="4"/>
        <v>#DIV/0!</v>
      </c>
      <c r="BT56" s="315" t="e">
        <f t="shared" si="7"/>
        <v>#DIV/0!</v>
      </c>
      <c r="BU56" s="87">
        <f t="shared" si="8"/>
        <v>0</v>
      </c>
      <c r="BV56" s="79">
        <f t="shared" si="9"/>
        <v>3</v>
      </c>
    </row>
    <row r="57" spans="2:74" x14ac:dyDescent="0.25">
      <c r="B57" s="322">
        <f t="shared" si="10"/>
        <v>52</v>
      </c>
      <c r="C57" s="333"/>
      <c r="D57" s="334"/>
      <c r="E57" s="335"/>
      <c r="F57" s="322"/>
      <c r="G57" s="325"/>
      <c r="H57" s="326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13" t="e">
        <f t="shared" si="2"/>
        <v>#DIV/0!</v>
      </c>
      <c r="BR57" s="313" t="e">
        <f t="shared" si="3"/>
        <v>#NUM!</v>
      </c>
      <c r="BS57" s="314" t="e">
        <f t="shared" si="4"/>
        <v>#DIV/0!</v>
      </c>
      <c r="BT57" s="315" t="e">
        <f t="shared" si="7"/>
        <v>#DIV/0!</v>
      </c>
      <c r="BU57" s="87">
        <f t="shared" si="8"/>
        <v>0</v>
      </c>
      <c r="BV57" s="79">
        <f t="shared" si="9"/>
        <v>3</v>
      </c>
    </row>
    <row r="58" spans="2:74" x14ac:dyDescent="0.25">
      <c r="B58" s="322">
        <f t="shared" si="10"/>
        <v>53</v>
      </c>
      <c r="C58" s="333"/>
      <c r="D58" s="334"/>
      <c r="E58" s="335"/>
      <c r="F58" s="322"/>
      <c r="G58" s="325"/>
      <c r="H58" s="326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13" t="e">
        <f t="shared" si="2"/>
        <v>#DIV/0!</v>
      </c>
      <c r="BR58" s="313" t="e">
        <f t="shared" si="3"/>
        <v>#NUM!</v>
      </c>
      <c r="BS58" s="314" t="e">
        <f t="shared" si="4"/>
        <v>#DIV/0!</v>
      </c>
      <c r="BT58" s="315" t="e">
        <f t="shared" si="7"/>
        <v>#DIV/0!</v>
      </c>
      <c r="BU58" s="87">
        <f t="shared" si="8"/>
        <v>0</v>
      </c>
      <c r="BV58" s="79">
        <f t="shared" si="9"/>
        <v>3</v>
      </c>
    </row>
    <row r="59" spans="2:74" x14ac:dyDescent="0.25">
      <c r="B59" s="322">
        <f t="shared" si="10"/>
        <v>54</v>
      </c>
      <c r="C59" s="333"/>
      <c r="D59" s="334"/>
      <c r="E59" s="335"/>
      <c r="F59" s="322"/>
      <c r="G59" s="325"/>
      <c r="H59" s="326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36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13" t="e">
        <f t="shared" si="2"/>
        <v>#DIV/0!</v>
      </c>
      <c r="BR59" s="313" t="e">
        <f t="shared" si="3"/>
        <v>#NUM!</v>
      </c>
      <c r="BS59" s="314" t="e">
        <f t="shared" si="4"/>
        <v>#DIV/0!</v>
      </c>
      <c r="BT59" s="315" t="e">
        <f t="shared" si="7"/>
        <v>#DIV/0!</v>
      </c>
      <c r="BU59" s="87">
        <f t="shared" si="8"/>
        <v>0</v>
      </c>
      <c r="BV59" s="79">
        <f t="shared" si="9"/>
        <v>3</v>
      </c>
    </row>
    <row r="60" spans="2:74" x14ac:dyDescent="0.25">
      <c r="B60" s="322">
        <f t="shared" si="10"/>
        <v>55</v>
      </c>
      <c r="C60" s="333"/>
      <c r="D60" s="334"/>
      <c r="E60" s="335"/>
      <c r="F60" s="322"/>
      <c r="G60" s="325"/>
      <c r="H60" s="326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  <c r="W60" s="327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36"/>
      <c r="AN60" s="336"/>
      <c r="AO60" s="336"/>
      <c r="AP60" s="336"/>
      <c r="AQ60" s="336"/>
      <c r="AR60" s="336"/>
      <c r="AS60" s="336"/>
      <c r="AT60" s="336"/>
      <c r="AU60" s="327"/>
      <c r="AV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13" t="e">
        <f t="shared" si="2"/>
        <v>#DIV/0!</v>
      </c>
      <c r="BR60" s="313" t="e">
        <f t="shared" si="3"/>
        <v>#NUM!</v>
      </c>
      <c r="BS60" s="314" t="e">
        <f t="shared" si="4"/>
        <v>#DIV/0!</v>
      </c>
      <c r="BT60" s="315" t="e">
        <f t="shared" si="7"/>
        <v>#DIV/0!</v>
      </c>
      <c r="BU60" s="87">
        <f t="shared" si="8"/>
        <v>0</v>
      </c>
      <c r="BV60" s="79">
        <f t="shared" si="9"/>
        <v>3</v>
      </c>
    </row>
    <row r="61" spans="2:74" x14ac:dyDescent="0.25">
      <c r="B61" s="322">
        <f t="shared" si="10"/>
        <v>56</v>
      </c>
      <c r="C61" s="333"/>
      <c r="D61" s="334"/>
      <c r="E61" s="335"/>
      <c r="F61" s="322"/>
      <c r="G61" s="325"/>
      <c r="H61" s="326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36"/>
      <c r="AP61" s="336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13" t="e">
        <f t="shared" si="2"/>
        <v>#DIV/0!</v>
      </c>
      <c r="BR61" s="313" t="e">
        <f t="shared" si="3"/>
        <v>#NUM!</v>
      </c>
      <c r="BS61" s="314" t="e">
        <f t="shared" si="4"/>
        <v>#DIV/0!</v>
      </c>
      <c r="BT61" s="315" t="e">
        <f t="shared" si="7"/>
        <v>#DIV/0!</v>
      </c>
      <c r="BU61" s="87">
        <f t="shared" si="8"/>
        <v>0</v>
      </c>
      <c r="BV61" s="79">
        <f t="shared" si="9"/>
        <v>3</v>
      </c>
    </row>
    <row r="62" spans="2:74" x14ac:dyDescent="0.25">
      <c r="B62" s="322">
        <f t="shared" si="10"/>
        <v>57</v>
      </c>
      <c r="C62" s="333"/>
      <c r="D62" s="334"/>
      <c r="E62" s="335"/>
      <c r="F62" s="322"/>
      <c r="G62" s="325"/>
      <c r="H62" s="326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  <c r="W62" s="327"/>
      <c r="X62" s="327"/>
      <c r="Y62" s="327"/>
      <c r="Z62" s="327"/>
      <c r="AA62" s="327"/>
      <c r="AB62" s="327"/>
      <c r="AC62" s="327"/>
      <c r="AD62" s="327"/>
      <c r="AE62" s="327"/>
      <c r="AF62" s="327"/>
      <c r="AG62" s="327"/>
      <c r="AH62" s="327"/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13" t="e">
        <f t="shared" si="2"/>
        <v>#DIV/0!</v>
      </c>
      <c r="BR62" s="313" t="e">
        <f t="shared" si="3"/>
        <v>#NUM!</v>
      </c>
      <c r="BS62" s="314" t="e">
        <f t="shared" si="4"/>
        <v>#DIV/0!</v>
      </c>
      <c r="BT62" s="315" t="e">
        <f t="shared" si="7"/>
        <v>#DIV/0!</v>
      </c>
      <c r="BU62" s="87">
        <f t="shared" si="8"/>
        <v>0</v>
      </c>
      <c r="BV62" s="79">
        <f t="shared" si="9"/>
        <v>3</v>
      </c>
    </row>
    <row r="63" spans="2:74" ht="18" customHeight="1" x14ac:dyDescent="0.25">
      <c r="B63" s="322">
        <f t="shared" si="10"/>
        <v>58</v>
      </c>
      <c r="C63" s="333"/>
      <c r="D63" s="337"/>
      <c r="E63" s="333"/>
      <c r="F63" s="322"/>
      <c r="G63" s="325"/>
      <c r="H63" s="326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  <c r="W63" s="327"/>
      <c r="X63" s="327"/>
      <c r="Y63" s="327"/>
      <c r="Z63" s="327"/>
      <c r="AA63" s="327"/>
      <c r="AB63" s="327"/>
      <c r="AC63" s="327"/>
      <c r="AD63" s="327"/>
      <c r="AE63" s="327"/>
      <c r="AF63" s="327"/>
      <c r="AG63" s="327"/>
      <c r="AH63" s="327"/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13" t="e">
        <f t="shared" si="2"/>
        <v>#DIV/0!</v>
      </c>
      <c r="BR63" s="313" t="e">
        <f t="shared" si="3"/>
        <v>#NUM!</v>
      </c>
      <c r="BS63" s="314" t="e">
        <f t="shared" si="4"/>
        <v>#DIV/0!</v>
      </c>
      <c r="BT63" s="315" t="e">
        <f t="shared" si="7"/>
        <v>#DIV/0!</v>
      </c>
      <c r="BU63" s="87">
        <f t="shared" si="8"/>
        <v>0</v>
      </c>
      <c r="BV63" s="79">
        <f t="shared" si="9"/>
        <v>3</v>
      </c>
    </row>
    <row r="64" spans="2:74" x14ac:dyDescent="0.25">
      <c r="B64" s="322">
        <f t="shared" si="10"/>
        <v>59</v>
      </c>
      <c r="C64" s="333"/>
      <c r="D64" s="334"/>
      <c r="E64" s="335"/>
      <c r="F64" s="322"/>
      <c r="G64" s="325"/>
      <c r="H64" s="326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  <c r="Z64" s="327"/>
      <c r="AA64" s="327"/>
      <c r="AB64" s="327"/>
      <c r="AC64" s="327"/>
      <c r="AD64" s="327"/>
      <c r="AE64" s="327"/>
      <c r="AF64" s="327"/>
      <c r="AG64" s="327"/>
      <c r="AH64" s="327"/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13" t="e">
        <f t="shared" si="2"/>
        <v>#DIV/0!</v>
      </c>
      <c r="BR64" s="313" t="e">
        <f t="shared" si="3"/>
        <v>#NUM!</v>
      </c>
      <c r="BS64" s="314" t="e">
        <f t="shared" si="4"/>
        <v>#DIV/0!</v>
      </c>
      <c r="BT64" s="315" t="e">
        <f t="shared" si="7"/>
        <v>#DIV/0!</v>
      </c>
      <c r="BU64" s="87">
        <f t="shared" si="8"/>
        <v>0</v>
      </c>
      <c r="BV64" s="79">
        <f t="shared" si="9"/>
        <v>3</v>
      </c>
    </row>
    <row r="65" spans="2:74" x14ac:dyDescent="0.25">
      <c r="B65" s="322">
        <f t="shared" si="10"/>
        <v>60</v>
      </c>
      <c r="C65" s="333"/>
      <c r="D65" s="334"/>
      <c r="E65" s="335"/>
      <c r="F65" s="322"/>
      <c r="G65" s="325"/>
      <c r="H65" s="326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  <c r="W65" s="327"/>
      <c r="X65" s="327"/>
      <c r="Y65" s="327"/>
      <c r="Z65" s="327"/>
      <c r="AA65" s="327"/>
      <c r="AB65" s="327"/>
      <c r="AC65" s="327"/>
      <c r="AD65" s="327"/>
      <c r="AE65" s="327"/>
      <c r="AF65" s="327"/>
      <c r="AG65" s="327"/>
      <c r="AH65" s="327"/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13" t="e">
        <f t="shared" si="2"/>
        <v>#DIV/0!</v>
      </c>
      <c r="BR65" s="313" t="e">
        <f t="shared" si="3"/>
        <v>#NUM!</v>
      </c>
      <c r="BS65" s="314" t="e">
        <f t="shared" si="4"/>
        <v>#DIV/0!</v>
      </c>
      <c r="BT65" s="315" t="e">
        <f t="shared" si="7"/>
        <v>#DIV/0!</v>
      </c>
      <c r="BU65" s="87">
        <f t="shared" si="8"/>
        <v>0</v>
      </c>
      <c r="BV65" s="79">
        <f t="shared" si="9"/>
        <v>3</v>
      </c>
    </row>
    <row r="66" spans="2:74" x14ac:dyDescent="0.25">
      <c r="B66" s="322">
        <f t="shared" si="10"/>
        <v>61</v>
      </c>
      <c r="C66" s="333"/>
      <c r="D66" s="334"/>
      <c r="E66" s="335"/>
      <c r="F66" s="322"/>
      <c r="G66" s="325"/>
      <c r="H66" s="326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7"/>
      <c r="Y66" s="327"/>
      <c r="Z66" s="327"/>
      <c r="AA66" s="327"/>
      <c r="AB66" s="327"/>
      <c r="AC66" s="327"/>
      <c r="AD66" s="327"/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13" t="e">
        <f t="shared" si="2"/>
        <v>#DIV/0!</v>
      </c>
      <c r="BR66" s="313" t="e">
        <f t="shared" si="3"/>
        <v>#NUM!</v>
      </c>
      <c r="BS66" s="314" t="e">
        <f t="shared" si="4"/>
        <v>#DIV/0!</v>
      </c>
      <c r="BT66" s="315" t="e">
        <f t="shared" si="7"/>
        <v>#DIV/0!</v>
      </c>
      <c r="BU66" s="87">
        <f t="shared" si="8"/>
        <v>0</v>
      </c>
      <c r="BV66" s="79">
        <f t="shared" si="9"/>
        <v>3</v>
      </c>
    </row>
    <row r="67" spans="2:74" x14ac:dyDescent="0.25">
      <c r="B67" s="322">
        <f t="shared" si="10"/>
        <v>62</v>
      </c>
      <c r="C67" s="333"/>
      <c r="D67" s="334"/>
      <c r="E67" s="335"/>
      <c r="F67" s="322"/>
      <c r="G67" s="325"/>
      <c r="H67" s="326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  <c r="W67" s="327"/>
      <c r="X67" s="327"/>
      <c r="Y67" s="327"/>
      <c r="Z67" s="327"/>
      <c r="AA67" s="327"/>
      <c r="AB67" s="327"/>
      <c r="AC67" s="327"/>
      <c r="AD67" s="327"/>
      <c r="AE67" s="327"/>
      <c r="AF67" s="327"/>
      <c r="AG67" s="327"/>
      <c r="AH67" s="327"/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13" t="e">
        <f t="shared" si="2"/>
        <v>#DIV/0!</v>
      </c>
      <c r="BR67" s="313" t="e">
        <f t="shared" si="3"/>
        <v>#NUM!</v>
      </c>
      <c r="BS67" s="314" t="e">
        <f t="shared" si="4"/>
        <v>#DIV/0!</v>
      </c>
      <c r="BT67" s="315" t="e">
        <f t="shared" si="7"/>
        <v>#DIV/0!</v>
      </c>
      <c r="BU67" s="87">
        <f t="shared" si="8"/>
        <v>0</v>
      </c>
      <c r="BV67" s="79">
        <f t="shared" si="9"/>
        <v>3</v>
      </c>
    </row>
    <row r="68" spans="2:74" x14ac:dyDescent="0.25">
      <c r="B68" s="322">
        <f t="shared" si="10"/>
        <v>63</v>
      </c>
      <c r="C68" s="333"/>
      <c r="D68" s="334"/>
      <c r="E68" s="335"/>
      <c r="F68" s="322"/>
      <c r="G68" s="325"/>
      <c r="H68" s="326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13" t="e">
        <f t="shared" si="2"/>
        <v>#DIV/0!</v>
      </c>
      <c r="BR68" s="313" t="e">
        <f t="shared" si="3"/>
        <v>#NUM!</v>
      </c>
      <c r="BS68" s="314" t="e">
        <f t="shared" si="4"/>
        <v>#DIV/0!</v>
      </c>
      <c r="BT68" s="315" t="e">
        <f t="shared" si="7"/>
        <v>#DIV/0!</v>
      </c>
      <c r="BU68" s="87">
        <f t="shared" si="8"/>
        <v>0</v>
      </c>
      <c r="BV68" s="79">
        <f t="shared" si="9"/>
        <v>3</v>
      </c>
    </row>
    <row r="69" spans="2:74" x14ac:dyDescent="0.25">
      <c r="B69" s="322">
        <f t="shared" si="10"/>
        <v>64</v>
      </c>
      <c r="C69" s="333"/>
      <c r="D69" s="334"/>
      <c r="E69" s="335"/>
      <c r="F69" s="322"/>
      <c r="G69" s="325"/>
      <c r="H69" s="326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13" t="e">
        <f t="shared" si="2"/>
        <v>#DIV/0!</v>
      </c>
      <c r="BR69" s="313" t="e">
        <f t="shared" si="3"/>
        <v>#NUM!</v>
      </c>
      <c r="BS69" s="314" t="e">
        <f t="shared" si="4"/>
        <v>#DIV/0!</v>
      </c>
      <c r="BT69" s="315" t="e">
        <f t="shared" si="7"/>
        <v>#DIV/0!</v>
      </c>
      <c r="BU69" s="87">
        <f t="shared" si="8"/>
        <v>0</v>
      </c>
      <c r="BV69" s="79">
        <f t="shared" si="9"/>
        <v>3</v>
      </c>
    </row>
    <row r="70" spans="2:74" x14ac:dyDescent="0.25">
      <c r="B70" s="322">
        <f t="shared" si="10"/>
        <v>65</v>
      </c>
      <c r="C70" s="333"/>
      <c r="D70" s="337"/>
      <c r="E70" s="333"/>
      <c r="F70" s="322"/>
      <c r="G70" s="325"/>
      <c r="H70" s="326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13" t="e">
        <f t="shared" si="2"/>
        <v>#DIV/0!</v>
      </c>
      <c r="BR70" s="313" t="e">
        <f t="shared" si="3"/>
        <v>#NUM!</v>
      </c>
      <c r="BS70" s="314" t="e">
        <f t="shared" si="4"/>
        <v>#DIV/0!</v>
      </c>
      <c r="BT70" s="315" t="e">
        <f t="shared" si="7"/>
        <v>#DIV/0!</v>
      </c>
      <c r="BU70" s="87">
        <f t="shared" si="8"/>
        <v>0</v>
      </c>
      <c r="BV70" s="79">
        <f t="shared" si="9"/>
        <v>3</v>
      </c>
    </row>
    <row r="71" spans="2:74" ht="16.5" customHeight="1" x14ac:dyDescent="0.25">
      <c r="B71" s="322">
        <f t="shared" si="10"/>
        <v>66</v>
      </c>
      <c r="C71" s="333"/>
      <c r="D71" s="334"/>
      <c r="E71" s="335"/>
      <c r="F71" s="322"/>
      <c r="G71" s="325"/>
      <c r="H71" s="326"/>
      <c r="I71" s="327"/>
      <c r="J71" s="327"/>
      <c r="K71" s="327"/>
      <c r="L71" s="336"/>
      <c r="M71" s="327"/>
      <c r="N71" s="327"/>
      <c r="O71" s="327"/>
      <c r="P71" s="327"/>
      <c r="Q71" s="327"/>
      <c r="R71" s="336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13" t="e">
        <f t="shared" ref="BQ71:BQ107" si="11">AVERAGE(G71:BP71)</f>
        <v>#DIV/0!</v>
      </c>
      <c r="BR71" s="313" t="e">
        <f t="shared" ref="BR71:BR107" si="12">MEDIAN(G71:BP71)</f>
        <v>#NUM!</v>
      </c>
      <c r="BS71" s="314" t="e">
        <f t="shared" ref="BS71:BS107" si="13">SMALL(BQ71:BR71,1)</f>
        <v>#DIV/0!</v>
      </c>
      <c r="BT71" s="315" t="e">
        <f t="shared" si="7"/>
        <v>#DIV/0!</v>
      </c>
      <c r="BU71" s="87">
        <f t="shared" si="8"/>
        <v>0</v>
      </c>
      <c r="BV71" s="79">
        <f t="shared" si="9"/>
        <v>3</v>
      </c>
    </row>
    <row r="72" spans="2:74" ht="18.75" customHeight="1" x14ac:dyDescent="0.25">
      <c r="B72" s="322">
        <f t="shared" si="10"/>
        <v>67</v>
      </c>
      <c r="C72" s="333"/>
      <c r="D72" s="334"/>
      <c r="E72" s="335"/>
      <c r="F72" s="322"/>
      <c r="G72" s="325"/>
      <c r="H72" s="326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36"/>
      <c r="BJ72" s="336"/>
      <c r="BK72" s="327"/>
      <c r="BL72" s="327"/>
      <c r="BM72" s="327"/>
      <c r="BN72" s="327"/>
      <c r="BO72" s="327"/>
      <c r="BP72" s="327"/>
      <c r="BQ72" s="313" t="e">
        <f t="shared" si="11"/>
        <v>#DIV/0!</v>
      </c>
      <c r="BR72" s="313" t="e">
        <f t="shared" si="12"/>
        <v>#NUM!</v>
      </c>
      <c r="BS72" s="314" t="e">
        <f t="shared" si="13"/>
        <v>#DIV/0!</v>
      </c>
      <c r="BT72" s="315" t="e">
        <f t="shared" si="7"/>
        <v>#DIV/0!</v>
      </c>
      <c r="BU72" s="87">
        <f t="shared" si="8"/>
        <v>0</v>
      </c>
      <c r="BV72" s="79">
        <f t="shared" si="9"/>
        <v>3</v>
      </c>
    </row>
    <row r="73" spans="2:74" x14ac:dyDescent="0.25">
      <c r="B73" s="322">
        <f t="shared" si="10"/>
        <v>68</v>
      </c>
      <c r="C73" s="333"/>
      <c r="D73" s="334"/>
      <c r="E73" s="335"/>
      <c r="F73" s="322"/>
      <c r="G73" s="325"/>
      <c r="H73" s="326"/>
      <c r="I73" s="327"/>
      <c r="J73" s="327"/>
      <c r="K73" s="327"/>
      <c r="L73" s="327"/>
      <c r="M73" s="327"/>
      <c r="N73" s="327"/>
      <c r="O73" s="327"/>
      <c r="P73" s="327"/>
      <c r="Q73" s="327"/>
      <c r="R73" s="336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13" t="e">
        <f t="shared" si="11"/>
        <v>#DIV/0!</v>
      </c>
      <c r="BR73" s="313" t="e">
        <f t="shared" si="12"/>
        <v>#NUM!</v>
      </c>
      <c r="BS73" s="314" t="e">
        <f t="shared" si="13"/>
        <v>#DIV/0!</v>
      </c>
      <c r="BT73" s="315" t="e">
        <f t="shared" si="7"/>
        <v>#DIV/0!</v>
      </c>
      <c r="BU73" s="87">
        <f t="shared" si="8"/>
        <v>0</v>
      </c>
      <c r="BV73" s="79">
        <f t="shared" si="9"/>
        <v>3</v>
      </c>
    </row>
    <row r="74" spans="2:74" x14ac:dyDescent="0.25">
      <c r="B74" s="322">
        <f t="shared" si="10"/>
        <v>69</v>
      </c>
      <c r="C74" s="333"/>
      <c r="D74" s="334"/>
      <c r="E74" s="335"/>
      <c r="F74" s="322"/>
      <c r="G74" s="325"/>
      <c r="H74" s="326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7"/>
      <c r="Y74" s="327"/>
      <c r="Z74" s="327"/>
      <c r="AA74" s="327"/>
      <c r="AB74" s="327"/>
      <c r="AC74" s="327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13" t="e">
        <f t="shared" si="11"/>
        <v>#DIV/0!</v>
      </c>
      <c r="BR74" s="313" t="e">
        <f t="shared" si="12"/>
        <v>#NUM!</v>
      </c>
      <c r="BS74" s="314" t="e">
        <f t="shared" si="13"/>
        <v>#DIV/0!</v>
      </c>
      <c r="BT74" s="315" t="e">
        <f t="shared" si="7"/>
        <v>#DIV/0!</v>
      </c>
      <c r="BU74" s="87">
        <f t="shared" si="8"/>
        <v>0</v>
      </c>
      <c r="BV74" s="79">
        <f t="shared" si="9"/>
        <v>3</v>
      </c>
    </row>
    <row r="75" spans="2:74" x14ac:dyDescent="0.25">
      <c r="B75" s="322">
        <f t="shared" si="10"/>
        <v>70</v>
      </c>
      <c r="C75" s="333"/>
      <c r="D75" s="334"/>
      <c r="E75" s="335"/>
      <c r="F75" s="322"/>
      <c r="G75" s="325"/>
      <c r="H75" s="326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36"/>
      <c r="BM75" s="336"/>
      <c r="BN75" s="327"/>
      <c r="BO75" s="327"/>
      <c r="BP75" s="327"/>
      <c r="BQ75" s="313" t="e">
        <f t="shared" si="11"/>
        <v>#DIV/0!</v>
      </c>
      <c r="BR75" s="313" t="e">
        <f t="shared" si="12"/>
        <v>#NUM!</v>
      </c>
      <c r="BS75" s="314" t="e">
        <f t="shared" si="13"/>
        <v>#DIV/0!</v>
      </c>
      <c r="BT75" s="315" t="e">
        <f t="shared" si="7"/>
        <v>#DIV/0!</v>
      </c>
      <c r="BU75" s="87">
        <f t="shared" si="8"/>
        <v>0</v>
      </c>
      <c r="BV75" s="79">
        <f t="shared" si="9"/>
        <v>3</v>
      </c>
    </row>
    <row r="76" spans="2:74" x14ac:dyDescent="0.25">
      <c r="B76" s="322">
        <f>B75+1</f>
        <v>71</v>
      </c>
      <c r="C76" s="323"/>
      <c r="D76" s="322"/>
      <c r="E76" s="324"/>
      <c r="F76" s="322"/>
      <c r="G76" s="325"/>
      <c r="H76" s="326"/>
      <c r="I76" s="327"/>
      <c r="J76" s="327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13" t="e">
        <f t="shared" si="11"/>
        <v>#DIV/0!</v>
      </c>
      <c r="BR76" s="313" t="e">
        <f t="shared" si="12"/>
        <v>#NUM!</v>
      </c>
      <c r="BS76" s="314" t="e">
        <f t="shared" si="13"/>
        <v>#DIV/0!</v>
      </c>
      <c r="BT76" s="314" t="e">
        <f t="shared" ref="BT76:BT107" si="14">BS76*F76</f>
        <v>#DIV/0!</v>
      </c>
      <c r="BU76" s="85">
        <f t="shared" ref="BU76:BU105" si="15">F76*G76</f>
        <v>0</v>
      </c>
      <c r="BV76" s="79">
        <f t="shared" ref="BV76:BV105" si="16">IF(COUNTA(G76:BP76)&gt;=3,"ok",3-COUNTA(G76:BP76))</f>
        <v>3</v>
      </c>
    </row>
    <row r="77" spans="2:74" x14ac:dyDescent="0.25">
      <c r="B77" s="322">
        <f>B76+1</f>
        <v>72</v>
      </c>
      <c r="C77" s="323"/>
      <c r="D77" s="338"/>
      <c r="E77" s="339"/>
      <c r="F77" s="322"/>
      <c r="G77" s="325"/>
      <c r="H77" s="326"/>
      <c r="I77" s="327"/>
      <c r="J77" s="327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13" t="e">
        <f t="shared" si="11"/>
        <v>#DIV/0!</v>
      </c>
      <c r="BR77" s="313" t="e">
        <f t="shared" si="12"/>
        <v>#NUM!</v>
      </c>
      <c r="BS77" s="314" t="e">
        <f t="shared" si="13"/>
        <v>#DIV/0!</v>
      </c>
      <c r="BT77" s="314" t="e">
        <f t="shared" si="14"/>
        <v>#DIV/0!</v>
      </c>
      <c r="BU77" s="85">
        <f t="shared" si="15"/>
        <v>0</v>
      </c>
      <c r="BV77" s="79">
        <f t="shared" si="16"/>
        <v>3</v>
      </c>
    </row>
    <row r="78" spans="2:74" x14ac:dyDescent="0.25">
      <c r="B78" s="322">
        <f t="shared" ref="B78:B107" si="17">B77+1</f>
        <v>73</v>
      </c>
      <c r="C78" s="323"/>
      <c r="D78" s="338"/>
      <c r="E78" s="339"/>
      <c r="F78" s="322"/>
      <c r="G78" s="325"/>
      <c r="H78" s="326"/>
      <c r="I78" s="327"/>
      <c r="J78" s="327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13" t="e">
        <f t="shared" si="11"/>
        <v>#DIV/0!</v>
      </c>
      <c r="BR78" s="313" t="e">
        <f t="shared" si="12"/>
        <v>#NUM!</v>
      </c>
      <c r="BS78" s="314" t="e">
        <f t="shared" si="13"/>
        <v>#DIV/0!</v>
      </c>
      <c r="BT78" s="314" t="e">
        <f t="shared" si="14"/>
        <v>#DIV/0!</v>
      </c>
      <c r="BU78" s="85">
        <f t="shared" si="15"/>
        <v>0</v>
      </c>
      <c r="BV78" s="79">
        <f t="shared" si="16"/>
        <v>3</v>
      </c>
    </row>
    <row r="79" spans="2:74" x14ac:dyDescent="0.25">
      <c r="B79" s="322">
        <f t="shared" si="17"/>
        <v>74</v>
      </c>
      <c r="C79" s="323"/>
      <c r="D79" s="338"/>
      <c r="E79" s="324"/>
      <c r="F79" s="322"/>
      <c r="G79" s="325"/>
      <c r="H79" s="326"/>
      <c r="I79" s="327"/>
      <c r="J79" s="327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13" t="e">
        <f t="shared" si="11"/>
        <v>#DIV/0!</v>
      </c>
      <c r="BR79" s="313" t="e">
        <f t="shared" si="12"/>
        <v>#NUM!</v>
      </c>
      <c r="BS79" s="314" t="e">
        <f t="shared" si="13"/>
        <v>#DIV/0!</v>
      </c>
      <c r="BT79" s="314" t="e">
        <f t="shared" si="14"/>
        <v>#DIV/0!</v>
      </c>
      <c r="BU79" s="85">
        <f t="shared" si="15"/>
        <v>0</v>
      </c>
      <c r="BV79" s="79">
        <f t="shared" si="16"/>
        <v>3</v>
      </c>
    </row>
    <row r="80" spans="2:74" x14ac:dyDescent="0.25">
      <c r="B80" s="322">
        <f t="shared" si="17"/>
        <v>75</v>
      </c>
      <c r="C80" s="323"/>
      <c r="D80" s="322"/>
      <c r="E80" s="324"/>
      <c r="F80" s="322"/>
      <c r="G80" s="325"/>
      <c r="H80" s="326"/>
      <c r="I80" s="329"/>
      <c r="J80" s="327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13" t="e">
        <f t="shared" si="11"/>
        <v>#DIV/0!</v>
      </c>
      <c r="BR80" s="313" t="e">
        <f t="shared" si="12"/>
        <v>#NUM!</v>
      </c>
      <c r="BS80" s="314" t="e">
        <f t="shared" si="13"/>
        <v>#DIV/0!</v>
      </c>
      <c r="BT80" s="314" t="e">
        <f t="shared" si="14"/>
        <v>#DIV/0!</v>
      </c>
      <c r="BU80" s="85">
        <f t="shared" si="15"/>
        <v>0</v>
      </c>
      <c r="BV80" s="79">
        <f t="shared" si="16"/>
        <v>3</v>
      </c>
    </row>
    <row r="81" spans="2:74" x14ac:dyDescent="0.25">
      <c r="B81" s="322">
        <f t="shared" si="17"/>
        <v>76</v>
      </c>
      <c r="C81" s="323"/>
      <c r="D81" s="322"/>
      <c r="E81" s="324"/>
      <c r="F81" s="322"/>
      <c r="G81" s="325"/>
      <c r="H81" s="326"/>
      <c r="I81" s="329"/>
      <c r="J81" s="327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13" t="e">
        <f t="shared" si="11"/>
        <v>#DIV/0!</v>
      </c>
      <c r="BR81" s="313" t="e">
        <f t="shared" si="12"/>
        <v>#NUM!</v>
      </c>
      <c r="BS81" s="314" t="e">
        <f t="shared" si="13"/>
        <v>#DIV/0!</v>
      </c>
      <c r="BT81" s="314" t="e">
        <f t="shared" si="14"/>
        <v>#DIV/0!</v>
      </c>
      <c r="BU81" s="85">
        <f t="shared" si="15"/>
        <v>0</v>
      </c>
      <c r="BV81" s="79">
        <f t="shared" si="16"/>
        <v>3</v>
      </c>
    </row>
    <row r="82" spans="2:74" x14ac:dyDescent="0.25">
      <c r="B82" s="322">
        <f t="shared" si="17"/>
        <v>77</v>
      </c>
      <c r="C82" s="323"/>
      <c r="D82" s="322"/>
      <c r="E82" s="324"/>
      <c r="F82" s="322"/>
      <c r="G82" s="325"/>
      <c r="H82" s="326"/>
      <c r="I82" s="329"/>
      <c r="J82" s="327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13" t="e">
        <f t="shared" si="11"/>
        <v>#DIV/0!</v>
      </c>
      <c r="BR82" s="313" t="e">
        <f t="shared" si="12"/>
        <v>#NUM!</v>
      </c>
      <c r="BS82" s="314" t="e">
        <f t="shared" si="13"/>
        <v>#DIV/0!</v>
      </c>
      <c r="BT82" s="314" t="e">
        <f t="shared" si="14"/>
        <v>#DIV/0!</v>
      </c>
      <c r="BU82" s="85">
        <f t="shared" si="15"/>
        <v>0</v>
      </c>
      <c r="BV82" s="79">
        <f t="shared" si="16"/>
        <v>3</v>
      </c>
    </row>
    <row r="83" spans="2:74" x14ac:dyDescent="0.25">
      <c r="B83" s="322">
        <f t="shared" si="17"/>
        <v>78</v>
      </c>
      <c r="C83" s="323"/>
      <c r="D83" s="322"/>
      <c r="E83" s="324"/>
      <c r="F83" s="322"/>
      <c r="G83" s="325"/>
      <c r="H83" s="326"/>
      <c r="I83" s="329"/>
      <c r="J83" s="327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13" t="e">
        <f t="shared" si="11"/>
        <v>#DIV/0!</v>
      </c>
      <c r="BR83" s="313" t="e">
        <f t="shared" si="12"/>
        <v>#NUM!</v>
      </c>
      <c r="BS83" s="314" t="e">
        <f t="shared" si="13"/>
        <v>#DIV/0!</v>
      </c>
      <c r="BT83" s="314" t="e">
        <f t="shared" si="14"/>
        <v>#DIV/0!</v>
      </c>
      <c r="BU83" s="85">
        <f t="shared" si="15"/>
        <v>0</v>
      </c>
      <c r="BV83" s="79">
        <f t="shared" si="16"/>
        <v>3</v>
      </c>
    </row>
    <row r="84" spans="2:74" x14ac:dyDescent="0.25">
      <c r="B84" s="322">
        <f t="shared" si="17"/>
        <v>79</v>
      </c>
      <c r="C84" s="323"/>
      <c r="D84" s="322"/>
      <c r="E84" s="324"/>
      <c r="F84" s="322"/>
      <c r="G84" s="325"/>
      <c r="H84" s="326"/>
      <c r="I84" s="329"/>
      <c r="J84" s="327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13" t="e">
        <f t="shared" si="11"/>
        <v>#DIV/0!</v>
      </c>
      <c r="BR84" s="313" t="e">
        <f t="shared" si="12"/>
        <v>#NUM!</v>
      </c>
      <c r="BS84" s="314" t="e">
        <f t="shared" si="13"/>
        <v>#DIV/0!</v>
      </c>
      <c r="BT84" s="314" t="e">
        <f t="shared" si="14"/>
        <v>#DIV/0!</v>
      </c>
      <c r="BU84" s="85">
        <f t="shared" si="15"/>
        <v>0</v>
      </c>
      <c r="BV84" s="79">
        <f t="shared" si="16"/>
        <v>3</v>
      </c>
    </row>
    <row r="85" spans="2:74" x14ac:dyDescent="0.25">
      <c r="B85" s="322">
        <f t="shared" si="17"/>
        <v>80</v>
      </c>
      <c r="C85" s="323"/>
      <c r="D85" s="322"/>
      <c r="E85" s="324"/>
      <c r="F85" s="322"/>
      <c r="G85" s="325"/>
      <c r="H85" s="326"/>
      <c r="I85" s="327"/>
      <c r="J85" s="327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13" t="e">
        <f t="shared" si="11"/>
        <v>#DIV/0!</v>
      </c>
      <c r="BR85" s="313" t="e">
        <f t="shared" si="12"/>
        <v>#NUM!</v>
      </c>
      <c r="BS85" s="314" t="e">
        <f t="shared" si="13"/>
        <v>#DIV/0!</v>
      </c>
      <c r="BT85" s="314" t="e">
        <f t="shared" si="14"/>
        <v>#DIV/0!</v>
      </c>
      <c r="BU85" s="85">
        <f t="shared" si="15"/>
        <v>0</v>
      </c>
      <c r="BV85" s="79">
        <f t="shared" si="16"/>
        <v>3</v>
      </c>
    </row>
    <row r="86" spans="2:74" x14ac:dyDescent="0.25">
      <c r="B86" s="322">
        <f t="shared" si="17"/>
        <v>81</v>
      </c>
      <c r="C86" s="323"/>
      <c r="D86" s="322"/>
      <c r="E86" s="324"/>
      <c r="F86" s="322"/>
      <c r="G86" s="325"/>
      <c r="H86" s="326"/>
      <c r="I86" s="327"/>
      <c r="J86" s="327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13" t="e">
        <f t="shared" si="11"/>
        <v>#DIV/0!</v>
      </c>
      <c r="BR86" s="313" t="e">
        <f t="shared" si="12"/>
        <v>#NUM!</v>
      </c>
      <c r="BS86" s="314" t="e">
        <f t="shared" si="13"/>
        <v>#DIV/0!</v>
      </c>
      <c r="BT86" s="314" t="e">
        <f t="shared" si="14"/>
        <v>#DIV/0!</v>
      </c>
      <c r="BU86" s="85">
        <f t="shared" si="15"/>
        <v>0</v>
      </c>
      <c r="BV86" s="79">
        <f t="shared" si="16"/>
        <v>3</v>
      </c>
    </row>
    <row r="87" spans="2:74" ht="16.149999999999999" customHeight="1" x14ac:dyDescent="0.25">
      <c r="B87" s="322">
        <f t="shared" si="17"/>
        <v>82</v>
      </c>
      <c r="C87" s="323"/>
      <c r="D87" s="322"/>
      <c r="E87" s="324"/>
      <c r="F87" s="322"/>
      <c r="G87" s="325"/>
      <c r="H87" s="326"/>
      <c r="I87" s="327"/>
      <c r="J87" s="327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13" t="e">
        <f t="shared" si="11"/>
        <v>#DIV/0!</v>
      </c>
      <c r="BR87" s="313" t="e">
        <f t="shared" si="12"/>
        <v>#NUM!</v>
      </c>
      <c r="BS87" s="314" t="e">
        <f t="shared" si="13"/>
        <v>#DIV/0!</v>
      </c>
      <c r="BT87" s="314" t="e">
        <f t="shared" si="14"/>
        <v>#DIV/0!</v>
      </c>
      <c r="BU87" s="85">
        <f t="shared" si="15"/>
        <v>0</v>
      </c>
      <c r="BV87" s="79">
        <f t="shared" si="16"/>
        <v>3</v>
      </c>
    </row>
    <row r="88" spans="2:74" x14ac:dyDescent="0.25">
      <c r="B88" s="322">
        <f t="shared" si="17"/>
        <v>83</v>
      </c>
      <c r="C88" s="323"/>
      <c r="D88" s="322"/>
      <c r="E88" s="324"/>
      <c r="F88" s="322"/>
      <c r="G88" s="325"/>
      <c r="H88" s="326"/>
      <c r="I88" s="327"/>
      <c r="J88" s="327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13" t="e">
        <f t="shared" si="11"/>
        <v>#DIV/0!</v>
      </c>
      <c r="BR88" s="313" t="e">
        <f t="shared" si="12"/>
        <v>#NUM!</v>
      </c>
      <c r="BS88" s="314" t="e">
        <f t="shared" si="13"/>
        <v>#DIV/0!</v>
      </c>
      <c r="BT88" s="314" t="e">
        <f t="shared" si="14"/>
        <v>#DIV/0!</v>
      </c>
      <c r="BU88" s="85">
        <f t="shared" si="15"/>
        <v>0</v>
      </c>
      <c r="BV88" s="79">
        <f t="shared" si="16"/>
        <v>3</v>
      </c>
    </row>
    <row r="89" spans="2:74" ht="16.5" customHeight="1" x14ac:dyDescent="0.25">
      <c r="B89" s="322">
        <f t="shared" si="17"/>
        <v>84</v>
      </c>
      <c r="C89" s="323"/>
      <c r="D89" s="322"/>
      <c r="E89" s="324"/>
      <c r="F89" s="322"/>
      <c r="G89" s="325"/>
      <c r="H89" s="326"/>
      <c r="I89" s="327"/>
      <c r="J89" s="327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13" t="e">
        <f t="shared" si="11"/>
        <v>#DIV/0!</v>
      </c>
      <c r="BR89" s="313" t="e">
        <f t="shared" si="12"/>
        <v>#NUM!</v>
      </c>
      <c r="BS89" s="314" t="e">
        <f t="shared" si="13"/>
        <v>#DIV/0!</v>
      </c>
      <c r="BT89" s="314" t="e">
        <f t="shared" si="14"/>
        <v>#DIV/0!</v>
      </c>
      <c r="BU89" s="85">
        <f t="shared" si="15"/>
        <v>0</v>
      </c>
      <c r="BV89" s="79">
        <f t="shared" si="16"/>
        <v>3</v>
      </c>
    </row>
    <row r="90" spans="2:74" x14ac:dyDescent="0.25">
      <c r="B90" s="322">
        <f t="shared" si="17"/>
        <v>85</v>
      </c>
      <c r="C90" s="323"/>
      <c r="D90" s="322"/>
      <c r="E90" s="324"/>
      <c r="F90" s="322"/>
      <c r="G90" s="325"/>
      <c r="H90" s="326"/>
      <c r="I90" s="327"/>
      <c r="J90" s="327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13" t="e">
        <f t="shared" si="11"/>
        <v>#DIV/0!</v>
      </c>
      <c r="BR90" s="313" t="e">
        <f t="shared" si="12"/>
        <v>#NUM!</v>
      </c>
      <c r="BS90" s="314" t="e">
        <f t="shared" si="13"/>
        <v>#DIV/0!</v>
      </c>
      <c r="BT90" s="314" t="e">
        <f t="shared" si="14"/>
        <v>#DIV/0!</v>
      </c>
      <c r="BU90" s="85">
        <f t="shared" si="15"/>
        <v>0</v>
      </c>
      <c r="BV90" s="79">
        <f t="shared" si="16"/>
        <v>3</v>
      </c>
    </row>
    <row r="91" spans="2:74" x14ac:dyDescent="0.25">
      <c r="B91" s="322">
        <f t="shared" si="17"/>
        <v>86</v>
      </c>
      <c r="C91" s="323"/>
      <c r="D91" s="322"/>
      <c r="E91" s="324"/>
      <c r="F91" s="322"/>
      <c r="G91" s="325"/>
      <c r="H91" s="326"/>
      <c r="I91" s="327"/>
      <c r="J91" s="327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13" t="e">
        <f t="shared" si="11"/>
        <v>#DIV/0!</v>
      </c>
      <c r="BR91" s="313" t="e">
        <f t="shared" si="12"/>
        <v>#NUM!</v>
      </c>
      <c r="BS91" s="314" t="e">
        <f t="shared" si="13"/>
        <v>#DIV/0!</v>
      </c>
      <c r="BT91" s="314" t="e">
        <f t="shared" si="14"/>
        <v>#DIV/0!</v>
      </c>
      <c r="BU91" s="85">
        <f t="shared" si="15"/>
        <v>0</v>
      </c>
      <c r="BV91" s="79">
        <f t="shared" si="16"/>
        <v>3</v>
      </c>
    </row>
    <row r="92" spans="2:74" x14ac:dyDescent="0.25">
      <c r="B92" s="322">
        <f t="shared" si="17"/>
        <v>87</v>
      </c>
      <c r="C92" s="323"/>
      <c r="D92" s="322"/>
      <c r="E92" s="324"/>
      <c r="F92" s="322"/>
      <c r="G92" s="325"/>
      <c r="H92" s="326"/>
      <c r="I92" s="327"/>
      <c r="J92" s="327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13" t="e">
        <f t="shared" si="11"/>
        <v>#DIV/0!</v>
      </c>
      <c r="BR92" s="313" t="e">
        <f t="shared" si="12"/>
        <v>#NUM!</v>
      </c>
      <c r="BS92" s="314" t="e">
        <f t="shared" si="13"/>
        <v>#DIV/0!</v>
      </c>
      <c r="BT92" s="314" t="e">
        <f t="shared" si="14"/>
        <v>#DIV/0!</v>
      </c>
      <c r="BU92" s="85">
        <f t="shared" si="15"/>
        <v>0</v>
      </c>
      <c r="BV92" s="79">
        <f t="shared" si="16"/>
        <v>3</v>
      </c>
    </row>
    <row r="93" spans="2:74" x14ac:dyDescent="0.25">
      <c r="B93" s="322">
        <f t="shared" si="17"/>
        <v>88</v>
      </c>
      <c r="C93" s="323"/>
      <c r="D93" s="322"/>
      <c r="E93" s="324"/>
      <c r="F93" s="322"/>
      <c r="G93" s="325"/>
      <c r="H93" s="326"/>
      <c r="I93" s="327"/>
      <c r="J93" s="327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13" t="e">
        <f t="shared" si="11"/>
        <v>#DIV/0!</v>
      </c>
      <c r="BR93" s="313" t="e">
        <f t="shared" si="12"/>
        <v>#NUM!</v>
      </c>
      <c r="BS93" s="314" t="e">
        <f t="shared" si="13"/>
        <v>#DIV/0!</v>
      </c>
      <c r="BT93" s="314" t="e">
        <f t="shared" si="14"/>
        <v>#DIV/0!</v>
      </c>
      <c r="BU93" s="85">
        <f t="shared" si="15"/>
        <v>0</v>
      </c>
      <c r="BV93" s="79">
        <f t="shared" si="16"/>
        <v>3</v>
      </c>
    </row>
    <row r="94" spans="2:74" x14ac:dyDescent="0.25">
      <c r="B94" s="322">
        <f t="shared" si="17"/>
        <v>89</v>
      </c>
      <c r="C94" s="323"/>
      <c r="D94" s="322"/>
      <c r="E94" s="324"/>
      <c r="F94" s="322"/>
      <c r="G94" s="325"/>
      <c r="H94" s="326"/>
      <c r="I94" s="327"/>
      <c r="J94" s="327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13" t="e">
        <f t="shared" si="11"/>
        <v>#DIV/0!</v>
      </c>
      <c r="BR94" s="313" t="e">
        <f t="shared" si="12"/>
        <v>#NUM!</v>
      </c>
      <c r="BS94" s="314" t="e">
        <f t="shared" si="13"/>
        <v>#DIV/0!</v>
      </c>
      <c r="BT94" s="314" t="e">
        <f t="shared" si="14"/>
        <v>#DIV/0!</v>
      </c>
      <c r="BU94" s="85">
        <f t="shared" si="15"/>
        <v>0</v>
      </c>
      <c r="BV94" s="79">
        <f t="shared" si="16"/>
        <v>3</v>
      </c>
    </row>
    <row r="95" spans="2:74" x14ac:dyDescent="0.25">
      <c r="B95" s="322">
        <f t="shared" si="17"/>
        <v>90</v>
      </c>
      <c r="C95" s="323"/>
      <c r="D95" s="322"/>
      <c r="E95" s="324"/>
      <c r="F95" s="322"/>
      <c r="G95" s="325"/>
      <c r="H95" s="326"/>
      <c r="I95" s="327"/>
      <c r="J95" s="327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/>
      <c r="BC95" s="328"/>
      <c r="BD95" s="328"/>
      <c r="BE95" s="328"/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28"/>
      <c r="BQ95" s="313" t="e">
        <f t="shared" si="11"/>
        <v>#DIV/0!</v>
      </c>
      <c r="BR95" s="313" t="e">
        <f t="shared" si="12"/>
        <v>#NUM!</v>
      </c>
      <c r="BS95" s="314" t="e">
        <f t="shared" si="13"/>
        <v>#DIV/0!</v>
      </c>
      <c r="BT95" s="314" t="e">
        <f t="shared" si="14"/>
        <v>#DIV/0!</v>
      </c>
      <c r="BU95" s="85">
        <f t="shared" si="15"/>
        <v>0</v>
      </c>
      <c r="BV95" s="79">
        <f t="shared" si="16"/>
        <v>3</v>
      </c>
    </row>
    <row r="96" spans="2:74" x14ac:dyDescent="0.25">
      <c r="B96" s="322">
        <f t="shared" si="17"/>
        <v>91</v>
      </c>
      <c r="C96" s="323"/>
      <c r="D96" s="338"/>
      <c r="E96" s="324"/>
      <c r="F96" s="322"/>
      <c r="G96" s="325"/>
      <c r="H96" s="326"/>
      <c r="I96" s="327"/>
      <c r="J96" s="327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13" t="e">
        <f t="shared" si="11"/>
        <v>#DIV/0!</v>
      </c>
      <c r="BR96" s="313" t="e">
        <f t="shared" si="12"/>
        <v>#NUM!</v>
      </c>
      <c r="BS96" s="314" t="e">
        <f t="shared" si="13"/>
        <v>#DIV/0!</v>
      </c>
      <c r="BT96" s="314" t="e">
        <f t="shared" si="14"/>
        <v>#DIV/0!</v>
      </c>
      <c r="BU96" s="85">
        <f t="shared" si="15"/>
        <v>0</v>
      </c>
      <c r="BV96" s="79">
        <f t="shared" si="16"/>
        <v>3</v>
      </c>
    </row>
    <row r="97" spans="2:74" x14ac:dyDescent="0.25">
      <c r="B97" s="322">
        <f t="shared" si="17"/>
        <v>92</v>
      </c>
      <c r="C97" s="323"/>
      <c r="D97" s="322"/>
      <c r="E97" s="324"/>
      <c r="F97" s="322"/>
      <c r="G97" s="325"/>
      <c r="H97" s="326"/>
      <c r="I97" s="327"/>
      <c r="J97" s="327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13" t="e">
        <f t="shared" si="11"/>
        <v>#DIV/0!</v>
      </c>
      <c r="BR97" s="313" t="e">
        <f t="shared" si="12"/>
        <v>#NUM!</v>
      </c>
      <c r="BS97" s="314" t="e">
        <f t="shared" si="13"/>
        <v>#DIV/0!</v>
      </c>
      <c r="BT97" s="314" t="e">
        <f t="shared" si="14"/>
        <v>#DIV/0!</v>
      </c>
      <c r="BU97" s="85">
        <f t="shared" si="15"/>
        <v>0</v>
      </c>
      <c r="BV97" s="79">
        <f t="shared" si="16"/>
        <v>3</v>
      </c>
    </row>
    <row r="98" spans="2:74" x14ac:dyDescent="0.25">
      <c r="B98" s="322">
        <f t="shared" si="17"/>
        <v>93</v>
      </c>
      <c r="C98" s="323"/>
      <c r="D98" s="322"/>
      <c r="E98" s="324"/>
      <c r="F98" s="322"/>
      <c r="G98" s="325"/>
      <c r="H98" s="326"/>
      <c r="I98" s="327"/>
      <c r="J98" s="327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13" t="e">
        <f t="shared" si="11"/>
        <v>#DIV/0!</v>
      </c>
      <c r="BR98" s="313" t="e">
        <f t="shared" si="12"/>
        <v>#NUM!</v>
      </c>
      <c r="BS98" s="314" t="e">
        <f t="shared" si="13"/>
        <v>#DIV/0!</v>
      </c>
      <c r="BT98" s="314" t="e">
        <f t="shared" si="14"/>
        <v>#DIV/0!</v>
      </c>
      <c r="BU98" s="85">
        <f t="shared" si="15"/>
        <v>0</v>
      </c>
      <c r="BV98" s="79">
        <f t="shared" si="16"/>
        <v>3</v>
      </c>
    </row>
    <row r="99" spans="2:74" x14ac:dyDescent="0.25">
      <c r="B99" s="322">
        <f t="shared" si="17"/>
        <v>94</v>
      </c>
      <c r="C99" s="323"/>
      <c r="D99" s="322"/>
      <c r="E99" s="324"/>
      <c r="F99" s="322"/>
      <c r="G99" s="325"/>
      <c r="H99" s="326"/>
      <c r="I99" s="327"/>
      <c r="J99" s="327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328"/>
      <c r="BM99" s="328"/>
      <c r="BN99" s="328"/>
      <c r="BO99" s="328"/>
      <c r="BP99" s="328"/>
      <c r="BQ99" s="313" t="e">
        <f t="shared" si="11"/>
        <v>#DIV/0!</v>
      </c>
      <c r="BR99" s="313" t="e">
        <f t="shared" si="12"/>
        <v>#NUM!</v>
      </c>
      <c r="BS99" s="314" t="e">
        <f t="shared" si="13"/>
        <v>#DIV/0!</v>
      </c>
      <c r="BT99" s="314" t="e">
        <f t="shared" si="14"/>
        <v>#DIV/0!</v>
      </c>
      <c r="BU99" s="85">
        <f t="shared" si="15"/>
        <v>0</v>
      </c>
      <c r="BV99" s="79">
        <f t="shared" si="16"/>
        <v>3</v>
      </c>
    </row>
    <row r="100" spans="2:74" x14ac:dyDescent="0.25">
      <c r="B100" s="322">
        <f t="shared" si="17"/>
        <v>95</v>
      </c>
      <c r="C100" s="323"/>
      <c r="D100" s="322"/>
      <c r="E100" s="324"/>
      <c r="F100" s="322"/>
      <c r="G100" s="325"/>
      <c r="H100" s="326"/>
      <c r="I100" s="327"/>
      <c r="J100" s="327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328"/>
      <c r="AY100" s="328"/>
      <c r="AZ100" s="328"/>
      <c r="BA100" s="328"/>
      <c r="BB100" s="328"/>
      <c r="BC100" s="328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13" t="e">
        <f t="shared" si="11"/>
        <v>#DIV/0!</v>
      </c>
      <c r="BR100" s="313" t="e">
        <f t="shared" si="12"/>
        <v>#NUM!</v>
      </c>
      <c r="BS100" s="314" t="e">
        <f t="shared" si="13"/>
        <v>#DIV/0!</v>
      </c>
      <c r="BT100" s="314" t="e">
        <f t="shared" si="14"/>
        <v>#DIV/0!</v>
      </c>
      <c r="BU100" s="85">
        <f t="shared" si="15"/>
        <v>0</v>
      </c>
      <c r="BV100" s="79">
        <f t="shared" si="16"/>
        <v>3</v>
      </c>
    </row>
    <row r="101" spans="2:74" x14ac:dyDescent="0.25">
      <c r="B101" s="322">
        <f t="shared" si="17"/>
        <v>96</v>
      </c>
      <c r="C101" s="323"/>
      <c r="D101" s="322"/>
      <c r="E101" s="324"/>
      <c r="F101" s="322"/>
      <c r="G101" s="325"/>
      <c r="H101" s="326"/>
      <c r="I101" s="327"/>
      <c r="J101" s="327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  <c r="BD101" s="328"/>
      <c r="BE101" s="328"/>
      <c r="BF101" s="328"/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313" t="e">
        <f t="shared" si="11"/>
        <v>#DIV/0!</v>
      </c>
      <c r="BR101" s="313" t="e">
        <f t="shared" si="12"/>
        <v>#NUM!</v>
      </c>
      <c r="BS101" s="314" t="e">
        <f t="shared" si="13"/>
        <v>#DIV/0!</v>
      </c>
      <c r="BT101" s="314" t="e">
        <f t="shared" si="14"/>
        <v>#DIV/0!</v>
      </c>
      <c r="BU101" s="85">
        <f t="shared" si="15"/>
        <v>0</v>
      </c>
      <c r="BV101" s="79">
        <f t="shared" si="16"/>
        <v>3</v>
      </c>
    </row>
    <row r="102" spans="2:74" x14ac:dyDescent="0.25">
      <c r="B102" s="322">
        <f t="shared" si="17"/>
        <v>97</v>
      </c>
      <c r="C102" s="323"/>
      <c r="D102" s="322"/>
      <c r="E102" s="324"/>
      <c r="F102" s="322"/>
      <c r="G102" s="325"/>
      <c r="H102" s="326"/>
      <c r="I102" s="327"/>
      <c r="J102" s="327"/>
      <c r="K102" s="328"/>
      <c r="L102" s="328"/>
      <c r="M102" s="328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13" t="e">
        <f t="shared" si="11"/>
        <v>#DIV/0!</v>
      </c>
      <c r="BR102" s="313" t="e">
        <f t="shared" si="12"/>
        <v>#NUM!</v>
      </c>
      <c r="BS102" s="314" t="e">
        <f t="shared" si="13"/>
        <v>#DIV/0!</v>
      </c>
      <c r="BT102" s="314" t="e">
        <f t="shared" si="14"/>
        <v>#DIV/0!</v>
      </c>
      <c r="BU102" s="85">
        <f t="shared" si="15"/>
        <v>0</v>
      </c>
      <c r="BV102" s="79">
        <f t="shared" si="16"/>
        <v>3</v>
      </c>
    </row>
    <row r="103" spans="2:74" x14ac:dyDescent="0.25">
      <c r="B103" s="322">
        <f t="shared" si="17"/>
        <v>98</v>
      </c>
      <c r="C103" s="323"/>
      <c r="D103" s="322"/>
      <c r="E103" s="324"/>
      <c r="F103" s="322"/>
      <c r="G103" s="325"/>
      <c r="H103" s="326"/>
      <c r="I103" s="327"/>
      <c r="J103" s="327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13" t="e">
        <f t="shared" si="11"/>
        <v>#DIV/0!</v>
      </c>
      <c r="BR103" s="313" t="e">
        <f t="shared" si="12"/>
        <v>#NUM!</v>
      </c>
      <c r="BS103" s="314" t="e">
        <f t="shared" si="13"/>
        <v>#DIV/0!</v>
      </c>
      <c r="BT103" s="314" t="e">
        <f t="shared" si="14"/>
        <v>#DIV/0!</v>
      </c>
      <c r="BU103" s="85">
        <f t="shared" si="15"/>
        <v>0</v>
      </c>
      <c r="BV103" s="79">
        <f t="shared" si="16"/>
        <v>3</v>
      </c>
    </row>
    <row r="104" spans="2:74" x14ac:dyDescent="0.25">
      <c r="B104" s="322">
        <f t="shared" si="17"/>
        <v>99</v>
      </c>
      <c r="C104" s="323"/>
      <c r="D104" s="322"/>
      <c r="E104" s="324"/>
      <c r="F104" s="322"/>
      <c r="G104" s="325"/>
      <c r="H104" s="326"/>
      <c r="I104" s="327"/>
      <c r="J104" s="327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13" t="e">
        <f t="shared" si="11"/>
        <v>#DIV/0!</v>
      </c>
      <c r="BR104" s="313" t="e">
        <f t="shared" si="12"/>
        <v>#NUM!</v>
      </c>
      <c r="BS104" s="314" t="e">
        <f t="shared" si="13"/>
        <v>#DIV/0!</v>
      </c>
      <c r="BT104" s="314" t="e">
        <f t="shared" si="14"/>
        <v>#DIV/0!</v>
      </c>
      <c r="BU104" s="85">
        <f t="shared" si="15"/>
        <v>0</v>
      </c>
      <c r="BV104" s="79">
        <f t="shared" si="16"/>
        <v>3</v>
      </c>
    </row>
    <row r="105" spans="2:74" s="88" customFormat="1" x14ac:dyDescent="0.3">
      <c r="B105" s="322">
        <f t="shared" si="17"/>
        <v>100</v>
      </c>
      <c r="C105" s="340"/>
      <c r="D105" s="322"/>
      <c r="E105" s="341"/>
      <c r="F105" s="322"/>
      <c r="G105" s="325"/>
      <c r="H105" s="326"/>
      <c r="I105" s="326"/>
      <c r="J105" s="326"/>
      <c r="K105" s="342"/>
      <c r="L105" s="342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342"/>
      <c r="AA105" s="342"/>
      <c r="AB105" s="342"/>
      <c r="AC105" s="342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  <c r="BQ105" s="313" t="e">
        <f t="shared" si="11"/>
        <v>#DIV/0!</v>
      </c>
      <c r="BR105" s="313" t="e">
        <f t="shared" si="12"/>
        <v>#NUM!</v>
      </c>
      <c r="BS105" s="314" t="e">
        <f t="shared" si="13"/>
        <v>#DIV/0!</v>
      </c>
      <c r="BT105" s="314" t="e">
        <f t="shared" si="14"/>
        <v>#DIV/0!</v>
      </c>
      <c r="BU105" s="85">
        <f t="shared" si="15"/>
        <v>0</v>
      </c>
      <c r="BV105" s="79">
        <f t="shared" si="16"/>
        <v>3</v>
      </c>
    </row>
    <row r="106" spans="2:74" s="88" customFormat="1" ht="18" customHeight="1" x14ac:dyDescent="0.25">
      <c r="B106" s="322">
        <f t="shared" si="17"/>
        <v>101</v>
      </c>
      <c r="C106" s="343"/>
      <c r="D106" s="322"/>
      <c r="E106" s="324"/>
      <c r="F106" s="322"/>
      <c r="G106" s="325"/>
      <c r="H106" s="326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313" t="e">
        <f t="shared" si="11"/>
        <v>#DIV/0!</v>
      </c>
      <c r="BR106" s="313" t="e">
        <f t="shared" si="12"/>
        <v>#NUM!</v>
      </c>
      <c r="BS106" s="314" t="e">
        <f t="shared" si="13"/>
        <v>#DIV/0!</v>
      </c>
      <c r="BT106" s="315" t="e">
        <f t="shared" si="14"/>
        <v>#DIV/0!</v>
      </c>
      <c r="BU106" s="85"/>
      <c r="BV106" s="79"/>
    </row>
    <row r="107" spans="2:74" s="88" customFormat="1" ht="19.5" customHeight="1" x14ac:dyDescent="0.25">
      <c r="B107" s="322">
        <f t="shared" si="17"/>
        <v>102</v>
      </c>
      <c r="C107" s="343"/>
      <c r="D107" s="322"/>
      <c r="E107" s="324"/>
      <c r="F107" s="322"/>
      <c r="G107" s="325"/>
      <c r="H107" s="326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7"/>
      <c r="AD107" s="327"/>
      <c r="AE107" s="327"/>
      <c r="AF107" s="327"/>
      <c r="AG107" s="327"/>
      <c r="AH107" s="327"/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W107" s="327"/>
      <c r="AX107" s="327"/>
      <c r="AY107" s="327"/>
      <c r="AZ107" s="327"/>
      <c r="BA107" s="327"/>
      <c r="BB107" s="327"/>
      <c r="BC107" s="327"/>
      <c r="BD107" s="327"/>
      <c r="BE107" s="327"/>
      <c r="BF107" s="327"/>
      <c r="BG107" s="327"/>
      <c r="BH107" s="327"/>
      <c r="BI107" s="327"/>
      <c r="BJ107" s="327"/>
      <c r="BK107" s="327"/>
      <c r="BL107" s="327"/>
      <c r="BM107" s="327"/>
      <c r="BN107" s="327"/>
      <c r="BO107" s="327"/>
      <c r="BP107" s="327"/>
      <c r="BQ107" s="313" t="e">
        <f t="shared" si="11"/>
        <v>#DIV/0!</v>
      </c>
      <c r="BR107" s="313" t="e">
        <f t="shared" si="12"/>
        <v>#NUM!</v>
      </c>
      <c r="BS107" s="314" t="e">
        <f t="shared" si="13"/>
        <v>#DIV/0!</v>
      </c>
      <c r="BT107" s="315" t="e">
        <f t="shared" si="14"/>
        <v>#DIV/0!</v>
      </c>
      <c r="BU107" s="85"/>
      <c r="BV107" s="79"/>
    </row>
    <row r="108" spans="2:74" ht="22.5" customHeight="1" x14ac:dyDescent="0.25">
      <c r="B108" s="92"/>
      <c r="C108" s="81"/>
      <c r="D108" s="81"/>
      <c r="E108" s="81"/>
      <c r="F108" s="82"/>
      <c r="G108" s="444" t="s">
        <v>97</v>
      </c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5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6"/>
      <c r="BT108" s="316" t="e">
        <f>SUM(BT76:BT107)+SUM(BT36:BT75)+SUM(BT6:BT35)</f>
        <v>#DIV/0!</v>
      </c>
      <c r="BU108" s="85">
        <f>SUM(BU76:BU105)+SUM(BU36:BU75)+SUM(BU6:BU35)</f>
        <v>0</v>
      </c>
    </row>
    <row r="109" spans="2:74" x14ac:dyDescent="0.25">
      <c r="B109" s="89"/>
      <c r="C109" s="90"/>
      <c r="D109" s="89"/>
      <c r="E109" s="91"/>
      <c r="F109" s="89"/>
    </row>
    <row r="110" spans="2:74" ht="15.75" x14ac:dyDescent="0.25">
      <c r="C110" s="442" t="s">
        <v>98</v>
      </c>
      <c r="D110" s="442"/>
      <c r="E110" s="442"/>
      <c r="F110" s="442"/>
      <c r="G110" s="442"/>
      <c r="H110" s="442"/>
      <c r="I110" s="442"/>
      <c r="J110" s="442"/>
      <c r="K110" s="442"/>
      <c r="L110" s="442"/>
    </row>
    <row r="111" spans="2:74" ht="45" customHeight="1" x14ac:dyDescent="0.25">
      <c r="C111" s="93">
        <v>1</v>
      </c>
      <c r="D111" s="443" t="s">
        <v>99</v>
      </c>
      <c r="E111" s="443"/>
      <c r="F111" s="443"/>
      <c r="G111" s="443"/>
      <c r="H111" s="443"/>
      <c r="I111" s="443"/>
      <c r="J111" s="443"/>
      <c r="K111" s="443"/>
      <c r="L111" s="443"/>
    </row>
    <row r="112" spans="2:74" ht="45" customHeight="1" x14ac:dyDescent="0.25">
      <c r="C112" s="93">
        <v>2</v>
      </c>
      <c r="D112" s="443" t="s">
        <v>100</v>
      </c>
      <c r="E112" s="443"/>
      <c r="F112" s="443"/>
      <c r="G112" s="443"/>
      <c r="H112" s="443"/>
      <c r="I112" s="443"/>
      <c r="J112" s="443"/>
      <c r="K112" s="443"/>
      <c r="L112" s="443"/>
    </row>
    <row r="113" spans="3:12" ht="74.25" customHeight="1" x14ac:dyDescent="0.25">
      <c r="C113" s="93">
        <v>3</v>
      </c>
      <c r="D113" s="443" t="s">
        <v>101</v>
      </c>
      <c r="E113" s="443"/>
      <c r="F113" s="443"/>
      <c r="G113" s="443"/>
      <c r="H113" s="443"/>
      <c r="I113" s="443"/>
      <c r="J113" s="443"/>
      <c r="K113" s="443"/>
      <c r="L113" s="443"/>
    </row>
    <row r="114" spans="3:12" ht="45.75" customHeight="1" x14ac:dyDescent="0.25">
      <c r="C114" s="93">
        <v>4</v>
      </c>
      <c r="D114" s="443" t="s">
        <v>102</v>
      </c>
      <c r="E114" s="443"/>
      <c r="F114" s="443"/>
      <c r="G114" s="443"/>
      <c r="H114" s="443"/>
      <c r="I114" s="443"/>
      <c r="J114" s="443"/>
      <c r="K114" s="443"/>
      <c r="L114" s="443"/>
    </row>
    <row r="115" spans="3:12" ht="67.5" customHeight="1" x14ac:dyDescent="0.25">
      <c r="C115" s="93">
        <v>5</v>
      </c>
      <c r="D115" s="443" t="s">
        <v>156</v>
      </c>
      <c r="E115" s="443"/>
      <c r="F115" s="443"/>
      <c r="G115" s="443"/>
      <c r="H115" s="443"/>
      <c r="I115" s="443"/>
      <c r="J115" s="443"/>
      <c r="K115" s="443"/>
      <c r="L115" s="443"/>
    </row>
  </sheetData>
  <sheetProtection algorithmName="SHA-512" hashValue="hS07E9qVqmSUrKzCDqX0hZOWtOaTYchtGP3YUxV8GGWtxbnjte1I5VB+F1eKlQxjGyEdupig7oxwtu6lsVu66g==" saltValue="FY4cXIQX4soyRQ5naxY+gw==" spinCount="100000" sheet="1" objects="1" scenarios="1"/>
  <mergeCells count="82">
    <mergeCell ref="C3:F3"/>
    <mergeCell ref="G3:BP3"/>
    <mergeCell ref="BQ3:BU3"/>
    <mergeCell ref="B4:B5"/>
    <mergeCell ref="C4:C5"/>
    <mergeCell ref="D4:D5"/>
    <mergeCell ref="E4:E5"/>
    <mergeCell ref="F4:F5"/>
    <mergeCell ref="G4:G5"/>
    <mergeCell ref="H4:H5"/>
    <mergeCell ref="I4:I5"/>
    <mergeCell ref="U4:U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G4:AG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S4:AS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R4:AR5"/>
    <mergeCell ref="BE4:BE5"/>
    <mergeCell ref="AT4:AT5"/>
    <mergeCell ref="AU4:AU5"/>
    <mergeCell ref="AV4:AV5"/>
    <mergeCell ref="AW4:AW5"/>
    <mergeCell ref="AX4:AX5"/>
    <mergeCell ref="AY4:AY5"/>
    <mergeCell ref="BU4:BU5"/>
    <mergeCell ref="BL4:BL5"/>
    <mergeCell ref="BM4:BM5"/>
    <mergeCell ref="BN4:BN5"/>
    <mergeCell ref="BO4:BO5"/>
    <mergeCell ref="BP4:BP5"/>
    <mergeCell ref="BQ4:BQ5"/>
    <mergeCell ref="D115:L115"/>
    <mergeCell ref="G108:BS108"/>
    <mergeCell ref="BR4:BR5"/>
    <mergeCell ref="BS4:BS5"/>
    <mergeCell ref="BT4:BT5"/>
    <mergeCell ref="BF4:BF5"/>
    <mergeCell ref="BG4:BG5"/>
    <mergeCell ref="BH4:BH5"/>
    <mergeCell ref="BI4:BI5"/>
    <mergeCell ref="BJ4:BJ5"/>
    <mergeCell ref="BK4:BK5"/>
    <mergeCell ref="AZ4:AZ5"/>
    <mergeCell ref="BA4:BA5"/>
    <mergeCell ref="BB4:BB5"/>
    <mergeCell ref="BC4:BC5"/>
    <mergeCell ref="BD4:BD5"/>
    <mergeCell ref="C110:L110"/>
    <mergeCell ref="D111:L111"/>
    <mergeCell ref="D112:L112"/>
    <mergeCell ref="D113:L113"/>
    <mergeCell ref="D114:L114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6" orientation="landscape" r:id="rId1"/>
  <colBreaks count="1" manualBreakCount="1">
    <brk id="57" min="1" max="1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1"/>
  <sheetViews>
    <sheetView topLeftCell="J1" zoomScale="80" zoomScaleNormal="80" workbookViewId="0">
      <pane ySplit="4" topLeftCell="A14" activePane="bottomLeft" state="frozen"/>
      <selection pane="bottomLeft" activeCell="AA23" sqref="AA23"/>
    </sheetView>
  </sheetViews>
  <sheetFormatPr defaultColWidth="8.85546875" defaultRowHeight="18" x14ac:dyDescent="0.25"/>
  <cols>
    <col min="1" max="1" width="8.85546875" style="97"/>
    <col min="2" max="2" width="7.42578125" style="94" customWidth="1"/>
    <col min="3" max="3" width="115" style="94" customWidth="1"/>
    <col min="4" max="4" width="8.42578125" style="94" customWidth="1"/>
    <col min="5" max="6" width="19.28515625" style="95" customWidth="1"/>
    <col min="7" max="23" width="18" style="95" customWidth="1"/>
    <col min="24" max="24" width="22" style="95" customWidth="1"/>
    <col min="25" max="25" width="12.140625" style="95" customWidth="1"/>
    <col min="26" max="26" width="17.42578125" style="95" customWidth="1"/>
    <col min="27" max="27" width="20.28515625" style="95" customWidth="1"/>
    <col min="28" max="28" width="8.85546875" style="96"/>
    <col min="29" max="16384" width="8.85546875" style="97"/>
  </cols>
  <sheetData>
    <row r="1" spans="2:28" x14ac:dyDescent="0.25">
      <c r="M1" s="95" t="s">
        <v>103</v>
      </c>
      <c r="Q1" s="95" t="s">
        <v>104</v>
      </c>
    </row>
    <row r="2" spans="2:28" x14ac:dyDescent="0.25">
      <c r="M2" s="95" t="s">
        <v>105</v>
      </c>
      <c r="Q2" s="95" t="s">
        <v>106</v>
      </c>
    </row>
    <row r="3" spans="2:28" s="103" customFormat="1" ht="26.25" customHeight="1" x14ac:dyDescent="0.25">
      <c r="B3" s="98"/>
      <c r="C3" s="99" t="s">
        <v>107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1"/>
      <c r="AB3" s="102"/>
    </row>
    <row r="4" spans="2:28" s="107" customFormat="1" ht="70.900000000000006" customHeight="1" x14ac:dyDescent="0.25">
      <c r="B4" s="104" t="s">
        <v>84</v>
      </c>
      <c r="C4" s="105" t="s">
        <v>85</v>
      </c>
      <c r="D4" s="104" t="s">
        <v>108</v>
      </c>
      <c r="E4" s="104" t="s">
        <v>109</v>
      </c>
      <c r="F4" s="104" t="s">
        <v>110</v>
      </c>
      <c r="G4" s="104" t="s">
        <v>111</v>
      </c>
      <c r="H4" s="104" t="s">
        <v>112</v>
      </c>
      <c r="I4" s="104" t="s">
        <v>113</v>
      </c>
      <c r="J4" s="104" t="s">
        <v>114</v>
      </c>
      <c r="K4" s="104" t="s">
        <v>90</v>
      </c>
      <c r="L4" s="104" t="s">
        <v>115</v>
      </c>
      <c r="M4" s="104" t="s">
        <v>116</v>
      </c>
      <c r="N4" s="104" t="s">
        <v>117</v>
      </c>
      <c r="O4" s="104" t="s">
        <v>118</v>
      </c>
      <c r="P4" s="104" t="s">
        <v>119</v>
      </c>
      <c r="Q4" s="104" t="s">
        <v>120</v>
      </c>
      <c r="R4" s="104" t="s">
        <v>121</v>
      </c>
      <c r="S4" s="104" t="s">
        <v>91</v>
      </c>
      <c r="T4" s="104" t="s">
        <v>122</v>
      </c>
      <c r="U4" s="119" t="s">
        <v>123</v>
      </c>
      <c r="V4" s="119" t="s">
        <v>93</v>
      </c>
      <c r="W4" s="119" t="s">
        <v>124</v>
      </c>
      <c r="X4" s="119" t="s">
        <v>125</v>
      </c>
      <c r="Y4" s="119" t="s">
        <v>126</v>
      </c>
      <c r="Z4" s="119" t="s">
        <v>127</v>
      </c>
      <c r="AA4" s="119" t="s">
        <v>128</v>
      </c>
      <c r="AB4" s="106"/>
    </row>
    <row r="5" spans="2:28" ht="37.5" customHeight="1" x14ac:dyDescent="0.25">
      <c r="B5" s="108">
        <v>1</v>
      </c>
      <c r="C5" s="109" t="s">
        <v>129</v>
      </c>
      <c r="D5" s="108">
        <v>1</v>
      </c>
      <c r="E5" s="110">
        <f>45.56*60</f>
        <v>2733.6000000000004</v>
      </c>
      <c r="F5" s="110"/>
      <c r="G5" s="110"/>
      <c r="H5" s="110"/>
      <c r="I5" s="110"/>
      <c r="J5" s="110"/>
      <c r="K5" s="110"/>
      <c r="L5" s="110"/>
      <c r="M5" s="110">
        <v>1712</v>
      </c>
      <c r="N5" s="110"/>
      <c r="O5" s="110"/>
      <c r="P5" s="110"/>
      <c r="Q5" s="110"/>
      <c r="R5" s="110"/>
      <c r="S5" s="110"/>
      <c r="T5" s="110"/>
      <c r="U5" s="120">
        <f>AVERAGE(E5:T5)</f>
        <v>2222.8000000000002</v>
      </c>
      <c r="V5" s="120">
        <f>MEDIAN(E5:T5)</f>
        <v>2222.8000000000002</v>
      </c>
      <c r="W5" s="120">
        <f>SMALL(U5:V5,1)</f>
        <v>2222.8000000000002</v>
      </c>
      <c r="X5" s="120">
        <f>W5*D5</f>
        <v>2222.8000000000002</v>
      </c>
      <c r="Y5" s="121">
        <v>60</v>
      </c>
      <c r="Z5" s="122">
        <f>W5/Y5</f>
        <v>37.046666666666667</v>
      </c>
      <c r="AA5" s="122">
        <f>Z5*D5</f>
        <v>37.046666666666667</v>
      </c>
    </row>
    <row r="6" spans="2:28" ht="51" customHeight="1" x14ac:dyDescent="0.25">
      <c r="B6" s="108">
        <v>2</v>
      </c>
      <c r="C6" s="109" t="s">
        <v>130</v>
      </c>
      <c r="D6" s="108">
        <v>4</v>
      </c>
      <c r="E6" s="110">
        <f>11.44*60</f>
        <v>686.4</v>
      </c>
      <c r="F6" s="110">
        <v>595</v>
      </c>
      <c r="G6" s="110"/>
      <c r="H6" s="110"/>
      <c r="I6" s="110">
        <v>349.6</v>
      </c>
      <c r="J6" s="110">
        <v>291.72000000000003</v>
      </c>
      <c r="K6" s="110"/>
      <c r="L6" s="110">
        <v>438.23</v>
      </c>
      <c r="M6" s="110"/>
      <c r="N6" s="110"/>
      <c r="O6" s="110"/>
      <c r="P6" s="110"/>
      <c r="Q6" s="110"/>
      <c r="R6" s="110"/>
      <c r="S6" s="110"/>
      <c r="T6" s="110"/>
      <c r="U6" s="120">
        <f t="shared" ref="U6:U22" si="0">AVERAGE(E6:T6)</f>
        <v>472.18999999999994</v>
      </c>
      <c r="V6" s="120">
        <f t="shared" ref="V6:V22" si="1">MEDIAN(E6:T6)</f>
        <v>438.23</v>
      </c>
      <c r="W6" s="120">
        <f>SMALL(U6:V6,1)</f>
        <v>438.23</v>
      </c>
      <c r="X6" s="120">
        <f>W6*D6</f>
        <v>1752.92</v>
      </c>
      <c r="Y6" s="121">
        <f>Y5</f>
        <v>60</v>
      </c>
      <c r="Z6" s="122">
        <f>W6/Y6</f>
        <v>7.3038333333333334</v>
      </c>
      <c r="AA6" s="122">
        <f t="shared" ref="AA6:AA13" si="2">Z6*D6</f>
        <v>29.215333333333334</v>
      </c>
    </row>
    <row r="7" spans="2:28" ht="55.5" customHeight="1" x14ac:dyDescent="0.25">
      <c r="B7" s="108">
        <v>3</v>
      </c>
      <c r="C7" s="109" t="s">
        <v>131</v>
      </c>
      <c r="D7" s="108">
        <v>2</v>
      </c>
      <c r="E7" s="110">
        <f>16.59*60</f>
        <v>995.4</v>
      </c>
      <c r="F7" s="110"/>
      <c r="G7" s="110"/>
      <c r="H7" s="110"/>
      <c r="I7" s="110"/>
      <c r="J7" s="110"/>
      <c r="K7" s="110"/>
      <c r="L7" s="110">
        <v>299.29000000000002</v>
      </c>
      <c r="M7" s="110"/>
      <c r="N7" s="110"/>
      <c r="O7" s="110"/>
      <c r="P7" s="110"/>
      <c r="Q7" s="110"/>
      <c r="R7" s="110"/>
      <c r="S7" s="110"/>
      <c r="T7" s="110">
        <v>946.92</v>
      </c>
      <c r="U7" s="120">
        <f t="shared" si="0"/>
        <v>747.20333333333338</v>
      </c>
      <c r="V7" s="120">
        <f t="shared" si="1"/>
        <v>946.92</v>
      </c>
      <c r="W7" s="120">
        <f>SMALL(U7:V7,1)</f>
        <v>747.20333333333338</v>
      </c>
      <c r="X7" s="120">
        <f t="shared" ref="X7:X12" si="3">W7*D7</f>
        <v>1494.4066666666668</v>
      </c>
      <c r="Y7" s="121">
        <f t="shared" ref="Y7:Y22" si="4">Y6</f>
        <v>60</v>
      </c>
      <c r="Z7" s="122">
        <f t="shared" ref="Z7:Z22" si="5">W7/Y7</f>
        <v>12.45338888888889</v>
      </c>
      <c r="AA7" s="122">
        <f t="shared" si="2"/>
        <v>24.90677777777778</v>
      </c>
    </row>
    <row r="8" spans="2:28" ht="56.25" customHeight="1" x14ac:dyDescent="0.25">
      <c r="B8" s="108">
        <v>4</v>
      </c>
      <c r="C8" s="109" t="s">
        <v>132</v>
      </c>
      <c r="D8" s="108">
        <v>1</v>
      </c>
      <c r="E8" s="110">
        <f>2.84*60</f>
        <v>170.39999999999998</v>
      </c>
      <c r="F8" s="110"/>
      <c r="G8" s="110"/>
      <c r="H8" s="110"/>
      <c r="I8" s="110"/>
      <c r="J8" s="110"/>
      <c r="K8" s="110"/>
      <c r="L8" s="110">
        <v>260.38</v>
      </c>
      <c r="M8" s="110"/>
      <c r="N8" s="110"/>
      <c r="O8" s="110"/>
      <c r="P8" s="110"/>
      <c r="Q8" s="110"/>
      <c r="R8" s="110"/>
      <c r="S8" s="110"/>
      <c r="T8" s="110"/>
      <c r="U8" s="120">
        <f t="shared" si="0"/>
        <v>215.39</v>
      </c>
      <c r="V8" s="120">
        <f t="shared" si="1"/>
        <v>215.39</v>
      </c>
      <c r="W8" s="120">
        <f t="shared" ref="W8:W22" si="6">SMALL(U8:V8,1)</f>
        <v>215.39</v>
      </c>
      <c r="X8" s="120">
        <f t="shared" si="3"/>
        <v>215.39</v>
      </c>
      <c r="Y8" s="121">
        <f t="shared" si="4"/>
        <v>60</v>
      </c>
      <c r="Z8" s="122">
        <f t="shared" si="5"/>
        <v>3.589833333333333</v>
      </c>
      <c r="AA8" s="122">
        <f t="shared" si="2"/>
        <v>3.589833333333333</v>
      </c>
    </row>
    <row r="9" spans="2:28" ht="372" customHeight="1" x14ac:dyDescent="0.25">
      <c r="B9" s="108">
        <v>5</v>
      </c>
      <c r="C9" s="109" t="s">
        <v>133</v>
      </c>
      <c r="D9" s="108">
        <v>20</v>
      </c>
      <c r="E9" s="110">
        <f>20.84*60</f>
        <v>1250.4000000000001</v>
      </c>
      <c r="F9" s="110">
        <f>13.9+925+78.5+369+34+65.99+49+3*61</f>
        <v>1718.39</v>
      </c>
      <c r="G9" s="110"/>
      <c r="H9" s="110"/>
      <c r="I9" s="110"/>
      <c r="J9" s="110"/>
      <c r="K9" s="110"/>
      <c r="L9" s="110">
        <f>96.66+86.7+394.13+474+39.62</f>
        <v>1091.1099999999999</v>
      </c>
      <c r="M9" s="110"/>
      <c r="N9" s="110"/>
      <c r="O9" s="110"/>
      <c r="P9" s="110"/>
      <c r="Q9" s="110"/>
      <c r="R9" s="110"/>
      <c r="S9" s="110"/>
      <c r="T9" s="110"/>
      <c r="U9" s="120">
        <f t="shared" si="0"/>
        <v>1353.3</v>
      </c>
      <c r="V9" s="120">
        <f t="shared" si="1"/>
        <v>1250.4000000000001</v>
      </c>
      <c r="W9" s="120">
        <f t="shared" si="6"/>
        <v>1250.4000000000001</v>
      </c>
      <c r="X9" s="120">
        <f t="shared" si="3"/>
        <v>25008</v>
      </c>
      <c r="Y9" s="121">
        <f t="shared" si="4"/>
        <v>60</v>
      </c>
      <c r="Z9" s="122">
        <f t="shared" si="5"/>
        <v>20.84</v>
      </c>
      <c r="AA9" s="122">
        <f t="shared" si="2"/>
        <v>416.8</v>
      </c>
    </row>
    <row r="10" spans="2:28" ht="81" customHeight="1" x14ac:dyDescent="0.25">
      <c r="B10" s="108">
        <v>6</v>
      </c>
      <c r="C10" s="109" t="s">
        <v>134</v>
      </c>
      <c r="D10" s="108">
        <v>2</v>
      </c>
      <c r="E10" s="110">
        <f>56.07*60</f>
        <v>3364.2</v>
      </c>
      <c r="F10" s="110"/>
      <c r="G10" s="110"/>
      <c r="H10" s="110"/>
      <c r="I10" s="110"/>
      <c r="J10" s="110"/>
      <c r="K10" s="110"/>
      <c r="L10" s="110"/>
      <c r="M10" s="110"/>
      <c r="N10" s="110">
        <v>6662</v>
      </c>
      <c r="O10" s="110"/>
      <c r="P10" s="110"/>
      <c r="Q10" s="110"/>
      <c r="R10" s="110"/>
      <c r="S10" s="110"/>
      <c r="T10" s="110"/>
      <c r="U10" s="120">
        <f t="shared" si="0"/>
        <v>5013.1000000000004</v>
      </c>
      <c r="V10" s="120">
        <f t="shared" si="1"/>
        <v>5013.1000000000004</v>
      </c>
      <c r="W10" s="120">
        <f t="shared" si="6"/>
        <v>5013.1000000000004</v>
      </c>
      <c r="X10" s="120">
        <f t="shared" si="3"/>
        <v>10026.200000000001</v>
      </c>
      <c r="Y10" s="121">
        <f t="shared" si="4"/>
        <v>60</v>
      </c>
      <c r="Z10" s="122">
        <f t="shared" si="5"/>
        <v>83.551666666666677</v>
      </c>
      <c r="AA10" s="122">
        <f t="shared" si="2"/>
        <v>167.10333333333335</v>
      </c>
    </row>
    <row r="11" spans="2:28" ht="54.6" customHeight="1" x14ac:dyDescent="0.25">
      <c r="B11" s="108">
        <v>7</v>
      </c>
      <c r="C11" s="109" t="s">
        <v>135</v>
      </c>
      <c r="D11" s="108">
        <v>3</v>
      </c>
      <c r="E11" s="110">
        <f>23.31*60</f>
        <v>1398.6</v>
      </c>
      <c r="F11" s="110">
        <v>2650</v>
      </c>
      <c r="G11" s="110"/>
      <c r="H11" s="110"/>
      <c r="I11" s="110">
        <v>1169.5999999999999</v>
      </c>
      <c r="J11" s="110"/>
      <c r="K11" s="110"/>
      <c r="L11" s="110">
        <v>1475.53</v>
      </c>
      <c r="M11" s="110"/>
      <c r="N11" s="110"/>
      <c r="O11" s="110"/>
      <c r="P11" s="110"/>
      <c r="Q11" s="110"/>
      <c r="R11" s="110"/>
      <c r="S11" s="110"/>
      <c r="T11" s="110">
        <v>1271.54</v>
      </c>
      <c r="U11" s="120">
        <f t="shared" si="0"/>
        <v>1593.0539999999999</v>
      </c>
      <c r="V11" s="120">
        <f t="shared" si="1"/>
        <v>1398.6</v>
      </c>
      <c r="W11" s="120">
        <f t="shared" si="6"/>
        <v>1398.6</v>
      </c>
      <c r="X11" s="120">
        <f t="shared" si="3"/>
        <v>4195.7999999999993</v>
      </c>
      <c r="Y11" s="121">
        <f t="shared" si="4"/>
        <v>60</v>
      </c>
      <c r="Z11" s="122">
        <f t="shared" si="5"/>
        <v>23.31</v>
      </c>
      <c r="AA11" s="122">
        <f t="shared" si="2"/>
        <v>69.929999999999993</v>
      </c>
    </row>
    <row r="12" spans="2:28" ht="46.15" customHeight="1" x14ac:dyDescent="0.25">
      <c r="B12" s="108">
        <v>8</v>
      </c>
      <c r="C12" s="109" t="s">
        <v>136</v>
      </c>
      <c r="D12" s="108">
        <v>4</v>
      </c>
      <c r="E12" s="110">
        <f>25.43*60</f>
        <v>1525.8</v>
      </c>
      <c r="F12" s="110"/>
      <c r="G12" s="110"/>
      <c r="H12" s="110"/>
      <c r="I12" s="110">
        <v>1599.6</v>
      </c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>
        <v>1667.86</v>
      </c>
      <c r="U12" s="120">
        <f t="shared" si="0"/>
        <v>1597.7533333333331</v>
      </c>
      <c r="V12" s="120">
        <f t="shared" si="1"/>
        <v>1599.6</v>
      </c>
      <c r="W12" s="120">
        <f t="shared" si="6"/>
        <v>1597.7533333333331</v>
      </c>
      <c r="X12" s="120">
        <f t="shared" si="3"/>
        <v>6391.0133333333324</v>
      </c>
      <c r="Y12" s="121">
        <f t="shared" si="4"/>
        <v>60</v>
      </c>
      <c r="Z12" s="122">
        <f t="shared" si="5"/>
        <v>26.629222222222218</v>
      </c>
      <c r="AA12" s="122">
        <f t="shared" si="2"/>
        <v>106.51688888888887</v>
      </c>
    </row>
    <row r="13" spans="2:28" ht="34.15" customHeight="1" x14ac:dyDescent="0.25">
      <c r="B13" s="108">
        <v>9</v>
      </c>
      <c r="C13" s="109" t="s">
        <v>137</v>
      </c>
      <c r="D13" s="108">
        <v>1</v>
      </c>
      <c r="E13" s="110">
        <f>10.55*60</f>
        <v>633</v>
      </c>
      <c r="F13" s="110"/>
      <c r="G13" s="110">
        <v>493.97</v>
      </c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>
        <v>339.9</v>
      </c>
      <c r="T13" s="110"/>
      <c r="U13" s="120">
        <f t="shared" si="0"/>
        <v>488.95666666666665</v>
      </c>
      <c r="V13" s="120">
        <f t="shared" si="1"/>
        <v>493.97</v>
      </c>
      <c r="W13" s="120">
        <f t="shared" si="6"/>
        <v>488.95666666666665</v>
      </c>
      <c r="X13" s="120">
        <f>W13*D13</f>
        <v>488.95666666666665</v>
      </c>
      <c r="Y13" s="121">
        <f t="shared" si="4"/>
        <v>60</v>
      </c>
      <c r="Z13" s="122">
        <f t="shared" si="5"/>
        <v>8.1492777777777778</v>
      </c>
      <c r="AA13" s="122">
        <f t="shared" si="2"/>
        <v>8.1492777777777778</v>
      </c>
    </row>
    <row r="14" spans="2:28" ht="24" customHeight="1" x14ac:dyDescent="0.25">
      <c r="B14" s="108">
        <v>10</v>
      </c>
      <c r="C14" s="109" t="s">
        <v>138</v>
      </c>
      <c r="D14" s="108">
        <v>3</v>
      </c>
      <c r="E14" s="110">
        <f>3.13*60</f>
        <v>187.79999999999998</v>
      </c>
      <c r="F14" s="110"/>
      <c r="G14" s="110">
        <v>102.48</v>
      </c>
      <c r="H14" s="110">
        <v>152.19999999999999</v>
      </c>
      <c r="I14" s="110">
        <v>194.91</v>
      </c>
      <c r="J14" s="110">
        <v>117.25</v>
      </c>
      <c r="K14" s="110">
        <f>452.7/6</f>
        <v>75.45</v>
      </c>
      <c r="L14" s="110">
        <v>116.93</v>
      </c>
      <c r="M14" s="110"/>
      <c r="N14" s="110"/>
      <c r="O14" s="110"/>
      <c r="P14" s="110"/>
      <c r="Q14" s="110"/>
      <c r="R14" s="110"/>
      <c r="S14" s="110"/>
      <c r="T14" s="110"/>
      <c r="U14" s="120">
        <f t="shared" si="0"/>
        <v>135.28857142857143</v>
      </c>
      <c r="V14" s="120">
        <f t="shared" si="1"/>
        <v>117.25</v>
      </c>
      <c r="W14" s="120">
        <f t="shared" si="6"/>
        <v>117.25</v>
      </c>
      <c r="X14" s="120">
        <f>W14*D14</f>
        <v>351.75</v>
      </c>
      <c r="Y14" s="121">
        <f t="shared" si="4"/>
        <v>60</v>
      </c>
      <c r="Z14" s="122">
        <f t="shared" si="5"/>
        <v>1.9541666666666666</v>
      </c>
      <c r="AA14" s="122">
        <f>Z14*D14</f>
        <v>5.8624999999999998</v>
      </c>
    </row>
    <row r="15" spans="2:28" s="96" customFormat="1" ht="43.9" customHeight="1" x14ac:dyDescent="0.25">
      <c r="B15" s="108">
        <v>11</v>
      </c>
      <c r="C15" s="109" t="s">
        <v>139</v>
      </c>
      <c r="D15" s="108">
        <v>3</v>
      </c>
      <c r="E15" s="110">
        <f>0.97*60</f>
        <v>58.199999999999996</v>
      </c>
      <c r="F15" s="110"/>
      <c r="G15" s="110">
        <v>63.24</v>
      </c>
      <c r="H15" s="110"/>
      <c r="I15" s="110">
        <v>116.41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20">
        <f t="shared" si="0"/>
        <v>79.283333333333331</v>
      </c>
      <c r="V15" s="120">
        <f t="shared" si="1"/>
        <v>63.24</v>
      </c>
      <c r="W15" s="120">
        <f t="shared" si="6"/>
        <v>63.24</v>
      </c>
      <c r="X15" s="120">
        <f t="shared" ref="X15:X21" si="7">W15*D15</f>
        <v>189.72</v>
      </c>
      <c r="Y15" s="121">
        <f t="shared" si="4"/>
        <v>60</v>
      </c>
      <c r="Z15" s="122">
        <f t="shared" si="5"/>
        <v>1.054</v>
      </c>
      <c r="AA15" s="122">
        <f t="shared" ref="AA15:AA21" si="8">Z15*D15</f>
        <v>3.1619999999999999</v>
      </c>
    </row>
    <row r="16" spans="2:28" s="96" customFormat="1" ht="43.9" customHeight="1" x14ac:dyDescent="0.25">
      <c r="B16" s="108">
        <v>12</v>
      </c>
      <c r="C16" s="109" t="s">
        <v>140</v>
      </c>
      <c r="D16" s="108">
        <v>3</v>
      </c>
      <c r="E16" s="110">
        <f>3.18*60</f>
        <v>190.8</v>
      </c>
      <c r="F16" s="110"/>
      <c r="G16" s="110">
        <f>3.62*100</f>
        <v>362</v>
      </c>
      <c r="H16" s="110"/>
      <c r="I16" s="110"/>
      <c r="J16" s="110"/>
      <c r="K16" s="110">
        <f>794.7/3</f>
        <v>264.90000000000003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20">
        <f t="shared" si="0"/>
        <v>272.56666666666666</v>
      </c>
      <c r="V16" s="120">
        <f t="shared" si="1"/>
        <v>264.90000000000003</v>
      </c>
      <c r="W16" s="120">
        <f t="shared" si="6"/>
        <v>264.90000000000003</v>
      </c>
      <c r="X16" s="120">
        <f t="shared" si="7"/>
        <v>794.7</v>
      </c>
      <c r="Y16" s="121">
        <f t="shared" si="4"/>
        <v>60</v>
      </c>
      <c r="Z16" s="122">
        <f t="shared" si="5"/>
        <v>4.4150000000000009</v>
      </c>
      <c r="AA16" s="122">
        <f t="shared" si="8"/>
        <v>13.245000000000003</v>
      </c>
    </row>
    <row r="17" spans="2:27" s="96" customFormat="1" ht="75" customHeight="1" x14ac:dyDescent="0.25">
      <c r="B17" s="108">
        <v>13</v>
      </c>
      <c r="C17" s="109" t="s">
        <v>141</v>
      </c>
      <c r="D17" s="108">
        <v>1</v>
      </c>
      <c r="E17" s="110">
        <f>1.99*60</f>
        <v>119.4</v>
      </c>
      <c r="F17" s="110"/>
      <c r="G17" s="110"/>
      <c r="H17" s="110"/>
      <c r="I17" s="110"/>
      <c r="J17" s="110"/>
      <c r="K17" s="110"/>
      <c r="L17" s="110">
        <v>57.9</v>
      </c>
      <c r="M17" s="110"/>
      <c r="N17" s="110"/>
      <c r="O17" s="110"/>
      <c r="P17" s="110"/>
      <c r="Q17" s="110"/>
      <c r="R17" s="110"/>
      <c r="S17" s="110"/>
      <c r="T17" s="110"/>
      <c r="U17" s="120">
        <f t="shared" si="0"/>
        <v>88.65</v>
      </c>
      <c r="V17" s="120">
        <f t="shared" si="1"/>
        <v>88.65</v>
      </c>
      <c r="W17" s="120">
        <f t="shared" si="6"/>
        <v>88.65</v>
      </c>
      <c r="X17" s="120">
        <f t="shared" si="7"/>
        <v>88.65</v>
      </c>
      <c r="Y17" s="121">
        <f t="shared" si="4"/>
        <v>60</v>
      </c>
      <c r="Z17" s="122">
        <f t="shared" si="5"/>
        <v>1.4775</v>
      </c>
      <c r="AA17" s="122">
        <f t="shared" si="8"/>
        <v>1.4775</v>
      </c>
    </row>
    <row r="18" spans="2:27" s="96" customFormat="1" ht="32.450000000000003" customHeight="1" x14ac:dyDescent="0.25">
      <c r="B18" s="108">
        <v>14</v>
      </c>
      <c r="C18" s="109" t="s">
        <v>142</v>
      </c>
      <c r="D18" s="108">
        <v>1</v>
      </c>
      <c r="E18" s="110">
        <f>6.76*60</f>
        <v>405.59999999999997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>
        <v>529.46</v>
      </c>
      <c r="R18" s="110">
        <v>554.39</v>
      </c>
      <c r="S18" s="110"/>
      <c r="T18" s="110"/>
      <c r="U18" s="120">
        <f t="shared" si="0"/>
        <v>496.48333333333329</v>
      </c>
      <c r="V18" s="120">
        <f t="shared" si="1"/>
        <v>529.46</v>
      </c>
      <c r="W18" s="120">
        <f t="shared" si="6"/>
        <v>496.48333333333329</v>
      </c>
      <c r="X18" s="120">
        <f t="shared" si="7"/>
        <v>496.48333333333329</v>
      </c>
      <c r="Y18" s="121">
        <f t="shared" si="4"/>
        <v>60</v>
      </c>
      <c r="Z18" s="122">
        <f t="shared" si="5"/>
        <v>8.2747222222222216</v>
      </c>
      <c r="AA18" s="122">
        <f t="shared" si="8"/>
        <v>8.2747222222222216</v>
      </c>
    </row>
    <row r="19" spans="2:27" s="96" customFormat="1" ht="67.150000000000006" customHeight="1" x14ac:dyDescent="0.25">
      <c r="B19" s="108">
        <v>15</v>
      </c>
      <c r="C19" s="109" t="s">
        <v>143</v>
      </c>
      <c r="D19" s="108">
        <v>1</v>
      </c>
      <c r="E19" s="110">
        <f>91.25*60</f>
        <v>5475</v>
      </c>
      <c r="F19" s="110"/>
      <c r="G19" s="110">
        <v>536.38</v>
      </c>
      <c r="H19" s="110"/>
      <c r="I19" s="110"/>
      <c r="J19" s="110">
        <v>1101.3699999999999</v>
      </c>
      <c r="K19" s="110">
        <v>2419.9</v>
      </c>
      <c r="L19" s="110">
        <f>2696.17</f>
        <v>2696.17</v>
      </c>
      <c r="M19" s="110"/>
      <c r="N19" s="110"/>
      <c r="O19" s="110"/>
      <c r="P19" s="110"/>
      <c r="Q19" s="110"/>
      <c r="R19" s="110"/>
      <c r="S19" s="110"/>
      <c r="T19" s="110"/>
      <c r="U19" s="120">
        <f t="shared" si="0"/>
        <v>2445.7640000000001</v>
      </c>
      <c r="V19" s="120">
        <f t="shared" si="1"/>
        <v>2419.9</v>
      </c>
      <c r="W19" s="120">
        <f t="shared" si="6"/>
        <v>2419.9</v>
      </c>
      <c r="X19" s="120">
        <f t="shared" si="7"/>
        <v>2419.9</v>
      </c>
      <c r="Y19" s="121">
        <f t="shared" si="4"/>
        <v>60</v>
      </c>
      <c r="Z19" s="122">
        <f t="shared" si="5"/>
        <v>40.331666666666671</v>
      </c>
      <c r="AA19" s="122">
        <f t="shared" si="8"/>
        <v>40.331666666666671</v>
      </c>
    </row>
    <row r="20" spans="2:27" s="96" customFormat="1" ht="96" customHeight="1" x14ac:dyDescent="0.25">
      <c r="B20" s="108">
        <v>16</v>
      </c>
      <c r="C20" s="109" t="s">
        <v>144</v>
      </c>
      <c r="D20" s="108">
        <v>1</v>
      </c>
      <c r="E20" s="110">
        <f>61.24*60</f>
        <v>3674.4</v>
      </c>
      <c r="F20" s="110"/>
      <c r="G20" s="110"/>
      <c r="H20" s="110"/>
      <c r="I20" s="110"/>
      <c r="J20" s="110"/>
      <c r="K20" s="110"/>
      <c r="L20" s="110">
        <v>2277.8200000000002</v>
      </c>
      <c r="M20" s="110"/>
      <c r="N20" s="110"/>
      <c r="O20" s="110"/>
      <c r="P20" s="110">
        <v>3321</v>
      </c>
      <c r="Q20" s="110"/>
      <c r="R20" s="110"/>
      <c r="S20" s="110"/>
      <c r="T20" s="110"/>
      <c r="U20" s="120">
        <f t="shared" si="0"/>
        <v>3091.0733333333337</v>
      </c>
      <c r="V20" s="120">
        <f t="shared" si="1"/>
        <v>3321</v>
      </c>
      <c r="W20" s="120">
        <f t="shared" si="6"/>
        <v>3091.0733333333337</v>
      </c>
      <c r="X20" s="120">
        <f t="shared" si="7"/>
        <v>3091.0733333333337</v>
      </c>
      <c r="Y20" s="121">
        <f t="shared" si="4"/>
        <v>60</v>
      </c>
      <c r="Z20" s="122">
        <f t="shared" si="5"/>
        <v>51.517888888888898</v>
      </c>
      <c r="AA20" s="122">
        <f t="shared" si="8"/>
        <v>51.517888888888898</v>
      </c>
    </row>
    <row r="21" spans="2:27" s="96" customFormat="1" ht="70.150000000000006" customHeight="1" x14ac:dyDescent="0.25">
      <c r="B21" s="108">
        <v>17</v>
      </c>
      <c r="C21" s="109" t="s">
        <v>145</v>
      </c>
      <c r="D21" s="108">
        <v>1</v>
      </c>
      <c r="E21" s="110">
        <f>80.17*60</f>
        <v>4810.2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>
        <v>929.8</v>
      </c>
      <c r="P21" s="110"/>
      <c r="Q21" s="110"/>
      <c r="R21" s="110"/>
      <c r="S21" s="110"/>
      <c r="T21" s="110">
        <v>9248.99</v>
      </c>
      <c r="U21" s="120">
        <f t="shared" si="0"/>
        <v>4996.33</v>
      </c>
      <c r="V21" s="120">
        <f t="shared" si="1"/>
        <v>4810.2</v>
      </c>
      <c r="W21" s="120">
        <f t="shared" si="6"/>
        <v>4810.2</v>
      </c>
      <c r="X21" s="120">
        <f t="shared" si="7"/>
        <v>4810.2</v>
      </c>
      <c r="Y21" s="121">
        <f t="shared" si="4"/>
        <v>60</v>
      </c>
      <c r="Z21" s="122">
        <f t="shared" si="5"/>
        <v>80.17</v>
      </c>
      <c r="AA21" s="122">
        <f t="shared" si="8"/>
        <v>80.17</v>
      </c>
    </row>
    <row r="22" spans="2:27" s="96" customFormat="1" ht="60.6" customHeight="1" x14ac:dyDescent="0.25">
      <c r="B22" s="108">
        <v>18</v>
      </c>
      <c r="C22" s="109" t="s">
        <v>146</v>
      </c>
      <c r="D22" s="108">
        <v>1</v>
      </c>
      <c r="E22" s="110">
        <f>10.17*60</f>
        <v>610.20000000000005</v>
      </c>
      <c r="F22" s="110"/>
      <c r="G22" s="110">
        <f>4.55*100</f>
        <v>455</v>
      </c>
      <c r="H22" s="110"/>
      <c r="I22" s="110"/>
      <c r="J22" s="110"/>
      <c r="K22" s="110"/>
      <c r="L22" s="110">
        <v>857.23</v>
      </c>
      <c r="M22" s="110"/>
      <c r="N22" s="110"/>
      <c r="O22" s="110"/>
      <c r="P22" s="110"/>
      <c r="Q22" s="110"/>
      <c r="R22" s="110"/>
      <c r="S22" s="110"/>
      <c r="T22" s="110"/>
      <c r="U22" s="120">
        <f t="shared" si="0"/>
        <v>640.81000000000006</v>
      </c>
      <c r="V22" s="120">
        <f t="shared" si="1"/>
        <v>610.20000000000005</v>
      </c>
      <c r="W22" s="120">
        <f t="shared" si="6"/>
        <v>610.20000000000005</v>
      </c>
      <c r="X22" s="120">
        <f>W22*D22</f>
        <v>610.20000000000005</v>
      </c>
      <c r="Y22" s="121">
        <f t="shared" si="4"/>
        <v>60</v>
      </c>
      <c r="Z22" s="122">
        <f t="shared" si="5"/>
        <v>10.17</v>
      </c>
      <c r="AA22" s="122">
        <f>Z22*D22</f>
        <v>10.17</v>
      </c>
    </row>
    <row r="23" spans="2:27" s="96" customFormat="1" ht="35.25" customHeight="1" x14ac:dyDescent="0.25">
      <c r="B23" s="98"/>
      <c r="C23" s="99" t="s">
        <v>147</v>
      </c>
      <c r="D23" s="111"/>
      <c r="E23" s="112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4">
        <f>SUM(X5:X13)+SUM(X14:X22)</f>
        <v>64648.16333333333</v>
      </c>
      <c r="Y23" s="460" t="s">
        <v>148</v>
      </c>
      <c r="Z23" s="460"/>
      <c r="AA23" s="115">
        <f>SUM(AA5:AA13)+SUM(AA14:AA22)</f>
        <v>1077.4693888888889</v>
      </c>
    </row>
    <row r="24" spans="2:27" s="96" customFormat="1" x14ac:dyDescent="0.25">
      <c r="B24" s="116"/>
      <c r="C24" s="116"/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</row>
    <row r="25" spans="2:27" s="96" customFormat="1" x14ac:dyDescent="0.25">
      <c r="B25" s="94"/>
      <c r="C25" s="94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118">
        <f>X23/Y22</f>
        <v>1077.4693888888889</v>
      </c>
      <c r="Y25" s="95"/>
      <c r="Z25" s="95"/>
      <c r="AA25" s="95"/>
    </row>
    <row r="27" spans="2:27" s="96" customFormat="1" ht="31.5" customHeight="1" x14ac:dyDescent="0.25">
      <c r="B27" s="461" t="s">
        <v>98</v>
      </c>
      <c r="C27" s="461"/>
      <c r="D27" s="461"/>
      <c r="E27" s="461"/>
      <c r="F27" s="461"/>
      <c r="G27" s="461"/>
      <c r="H27" s="461"/>
      <c r="I27" s="461"/>
      <c r="J27" s="461"/>
      <c r="K27" s="461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118"/>
    </row>
    <row r="28" spans="2:27" ht="37.5" customHeight="1" x14ac:dyDescent="0.25">
      <c r="B28" s="130">
        <v>1</v>
      </c>
      <c r="C28" s="459" t="s">
        <v>241</v>
      </c>
      <c r="D28" s="459"/>
      <c r="E28" s="459"/>
      <c r="F28" s="459"/>
      <c r="G28" s="459"/>
      <c r="H28" s="459"/>
      <c r="I28" s="459"/>
      <c r="J28" s="459"/>
      <c r="K28" s="459"/>
    </row>
    <row r="29" spans="2:27" ht="37.5" customHeight="1" x14ac:dyDescent="0.25">
      <c r="B29" s="130">
        <f>B28+1</f>
        <v>2</v>
      </c>
      <c r="C29" s="459" t="s">
        <v>242</v>
      </c>
      <c r="D29" s="459"/>
      <c r="E29" s="459"/>
      <c r="F29" s="459"/>
      <c r="G29" s="459"/>
      <c r="H29" s="459"/>
      <c r="I29" s="459"/>
      <c r="J29" s="459"/>
      <c r="K29" s="459"/>
    </row>
    <row r="30" spans="2:27" ht="42" customHeight="1" x14ac:dyDescent="0.25">
      <c r="B30" s="130">
        <f t="shared" ref="B30:B31" si="9">B29+1</f>
        <v>3</v>
      </c>
      <c r="C30" s="459" t="s">
        <v>102</v>
      </c>
      <c r="D30" s="459"/>
      <c r="E30" s="459"/>
      <c r="F30" s="459"/>
      <c r="G30" s="459"/>
      <c r="H30" s="459"/>
      <c r="I30" s="459"/>
      <c r="J30" s="459"/>
      <c r="K30" s="459"/>
    </row>
    <row r="31" spans="2:27" ht="51.75" customHeight="1" x14ac:dyDescent="0.25">
      <c r="B31" s="130">
        <f t="shared" si="9"/>
        <v>4</v>
      </c>
      <c r="C31" s="459" t="s">
        <v>157</v>
      </c>
      <c r="D31" s="459"/>
      <c r="E31" s="459"/>
      <c r="F31" s="459"/>
      <c r="G31" s="459"/>
      <c r="H31" s="459"/>
      <c r="I31" s="459"/>
      <c r="J31" s="459"/>
      <c r="K31" s="459"/>
    </row>
  </sheetData>
  <mergeCells count="6">
    <mergeCell ref="C31:K31"/>
    <mergeCell ref="Y23:Z23"/>
    <mergeCell ref="B27:K27"/>
    <mergeCell ref="C28:K28"/>
    <mergeCell ref="C29:K29"/>
    <mergeCell ref="C30:K3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showZeros="0" workbookViewId="0">
      <selection activeCell="F6" sqref="F6"/>
    </sheetView>
  </sheetViews>
  <sheetFormatPr defaultColWidth="9.140625" defaultRowHeight="12.75" x14ac:dyDescent="0.2"/>
  <cols>
    <col min="1" max="1" width="9.140625" style="123"/>
    <col min="2" max="2" width="18.140625" style="123" customWidth="1"/>
    <col min="3" max="3" width="12.85546875" style="123" customWidth="1"/>
    <col min="4" max="4" width="13.140625" style="123" customWidth="1"/>
    <col min="5" max="5" width="66" style="123" customWidth="1"/>
    <col min="6" max="6" width="12.28515625" style="128" customWidth="1"/>
    <col min="7" max="7" width="10.5703125" style="128" customWidth="1"/>
    <col min="8" max="16384" width="9.140625" style="123"/>
  </cols>
  <sheetData>
    <row r="2" spans="2:7" s="310" customFormat="1" ht="15.75" x14ac:dyDescent="0.25">
      <c r="B2" s="462" t="s">
        <v>311</v>
      </c>
      <c r="C2" s="462"/>
      <c r="D2" s="462"/>
      <c r="E2" s="462"/>
      <c r="F2" s="309"/>
      <c r="G2" s="305"/>
    </row>
    <row r="3" spans="2:7" s="310" customFormat="1" x14ac:dyDescent="0.2">
      <c r="B3" s="463" t="s">
        <v>149</v>
      </c>
      <c r="C3" s="463" t="s">
        <v>56</v>
      </c>
      <c r="D3" s="463"/>
      <c r="E3" s="463" t="s">
        <v>150</v>
      </c>
      <c r="F3" s="309"/>
      <c r="G3" s="305"/>
    </row>
    <row r="4" spans="2:7" s="203" customFormat="1" x14ac:dyDescent="0.2">
      <c r="B4" s="463"/>
      <c r="C4" s="311" t="s">
        <v>151</v>
      </c>
      <c r="D4" s="311" t="s">
        <v>152</v>
      </c>
      <c r="E4" s="463"/>
      <c r="F4" s="312"/>
      <c r="G4" s="306"/>
    </row>
    <row r="5" spans="2:7" s="203" customFormat="1" ht="32.450000000000003" customHeight="1" x14ac:dyDescent="0.2">
      <c r="B5" s="465"/>
      <c r="C5" s="465">
        <v>2</v>
      </c>
      <c r="D5" s="465">
        <v>2</v>
      </c>
      <c r="E5" s="465"/>
      <c r="F5" s="307" t="s">
        <v>153</v>
      </c>
      <c r="G5" s="307" t="s">
        <v>154</v>
      </c>
    </row>
    <row r="6" spans="2:7" s="124" customFormat="1" ht="54.75" customHeight="1" x14ac:dyDescent="0.2">
      <c r="B6" s="466"/>
      <c r="C6" s="466"/>
      <c r="D6" s="466"/>
      <c r="E6" s="466"/>
      <c r="F6" s="320">
        <v>10</v>
      </c>
      <c r="G6" s="301">
        <f>F6*(C6+D6)</f>
        <v>0</v>
      </c>
    </row>
    <row r="7" spans="2:7" s="124" customFormat="1" x14ac:dyDescent="0.2">
      <c r="B7" s="317"/>
      <c r="C7" s="318"/>
      <c r="D7" s="318"/>
      <c r="E7" s="319"/>
      <c r="F7" s="320"/>
      <c r="G7" s="301">
        <f t="shared" ref="G7:G11" si="0">F7*(C7+D7)</f>
        <v>0</v>
      </c>
    </row>
    <row r="8" spans="2:7" s="124" customFormat="1" x14ac:dyDescent="0.2">
      <c r="B8" s="317"/>
      <c r="C8" s="318"/>
      <c r="D8" s="318"/>
      <c r="E8" s="319"/>
      <c r="F8" s="320"/>
      <c r="G8" s="301">
        <f t="shared" si="0"/>
        <v>0</v>
      </c>
    </row>
    <row r="9" spans="2:7" s="124" customFormat="1" x14ac:dyDescent="0.2">
      <c r="B9" s="317"/>
      <c r="C9" s="318"/>
      <c r="D9" s="318"/>
      <c r="E9" s="319"/>
      <c r="F9" s="320"/>
      <c r="G9" s="301">
        <f t="shared" si="0"/>
        <v>0</v>
      </c>
    </row>
    <row r="10" spans="2:7" s="124" customFormat="1" x14ac:dyDescent="0.2">
      <c r="B10" s="317"/>
      <c r="C10" s="318"/>
      <c r="D10" s="318"/>
      <c r="E10" s="319"/>
      <c r="F10" s="320"/>
      <c r="G10" s="301">
        <f t="shared" si="0"/>
        <v>0</v>
      </c>
    </row>
    <row r="11" spans="2:7" s="124" customFormat="1" x14ac:dyDescent="0.2">
      <c r="B11" s="317"/>
      <c r="C11" s="318"/>
      <c r="D11" s="318"/>
      <c r="E11" s="319"/>
      <c r="F11" s="320"/>
      <c r="G11" s="301">
        <f t="shared" si="0"/>
        <v>0</v>
      </c>
    </row>
    <row r="12" spans="2:7" s="124" customFormat="1" x14ac:dyDescent="0.2">
      <c r="B12" s="125"/>
      <c r="C12" s="126"/>
      <c r="D12" s="126"/>
      <c r="E12" s="127"/>
      <c r="F12" s="302" t="s">
        <v>154</v>
      </c>
      <c r="G12" s="302">
        <f>SUM(G6:G11)</f>
        <v>0</v>
      </c>
    </row>
    <row r="13" spans="2:7" s="124" customFormat="1" x14ac:dyDescent="0.2">
      <c r="B13" s="125"/>
      <c r="C13" s="126"/>
      <c r="D13" s="126"/>
      <c r="E13" s="127"/>
      <c r="F13" s="345" t="s">
        <v>155</v>
      </c>
      <c r="G13" s="303">
        <f>G12/12</f>
        <v>0</v>
      </c>
    </row>
    <row r="14" spans="2:7" s="124" customFormat="1" x14ac:dyDescent="0.2">
      <c r="B14" s="125"/>
      <c r="C14" s="126"/>
      <c r="D14" s="126"/>
      <c r="E14" s="127"/>
      <c r="F14" s="129"/>
      <c r="G14" s="304"/>
    </row>
    <row r="15" spans="2:7" s="310" customFormat="1" ht="15.75" x14ac:dyDescent="0.25">
      <c r="B15" s="464" t="s">
        <v>310</v>
      </c>
      <c r="C15" s="464"/>
      <c r="D15" s="464"/>
      <c r="E15" s="464"/>
      <c r="F15" s="309"/>
      <c r="G15" s="305"/>
    </row>
    <row r="16" spans="2:7" s="310" customFormat="1" x14ac:dyDescent="0.2">
      <c r="B16" s="463" t="s">
        <v>149</v>
      </c>
      <c r="C16" s="463" t="s">
        <v>56</v>
      </c>
      <c r="D16" s="463"/>
      <c r="E16" s="463" t="s">
        <v>150</v>
      </c>
      <c r="F16" s="309"/>
      <c r="G16" s="305"/>
    </row>
    <row r="17" spans="2:7" s="203" customFormat="1" x14ac:dyDescent="0.2">
      <c r="B17" s="463"/>
      <c r="C17" s="311" t="s">
        <v>151</v>
      </c>
      <c r="D17" s="311" t="s">
        <v>152</v>
      </c>
      <c r="E17" s="463"/>
      <c r="F17" s="312"/>
      <c r="G17" s="306"/>
    </row>
    <row r="18" spans="2:7" s="203" customFormat="1" ht="32.450000000000003" customHeight="1" x14ac:dyDescent="0.2">
      <c r="B18" s="465"/>
      <c r="C18" s="465"/>
      <c r="D18" s="465"/>
      <c r="E18" s="465"/>
      <c r="F18" s="307" t="s">
        <v>153</v>
      </c>
      <c r="G18" s="307" t="s">
        <v>154</v>
      </c>
    </row>
    <row r="19" spans="2:7" s="124" customFormat="1" ht="54.75" customHeight="1" x14ac:dyDescent="0.2">
      <c r="B19" s="466"/>
      <c r="C19" s="466"/>
      <c r="D19" s="466"/>
      <c r="E19" s="466"/>
      <c r="F19" s="320"/>
      <c r="G19" s="301">
        <f>F19*(C19+D19)</f>
        <v>0</v>
      </c>
    </row>
    <row r="20" spans="2:7" s="124" customFormat="1" x14ac:dyDescent="0.2">
      <c r="B20" s="317"/>
      <c r="C20" s="318"/>
      <c r="D20" s="318"/>
      <c r="E20" s="319"/>
      <c r="F20" s="320"/>
      <c r="G20" s="301">
        <f t="shared" ref="G20:G24" si="1">F20*(C20+D20)</f>
        <v>0</v>
      </c>
    </row>
    <row r="21" spans="2:7" s="124" customFormat="1" x14ac:dyDescent="0.2">
      <c r="B21" s="317"/>
      <c r="C21" s="318"/>
      <c r="D21" s="318"/>
      <c r="E21" s="319"/>
      <c r="F21" s="320"/>
      <c r="G21" s="301">
        <f t="shared" si="1"/>
        <v>0</v>
      </c>
    </row>
    <row r="22" spans="2:7" s="124" customFormat="1" x14ac:dyDescent="0.2">
      <c r="B22" s="317"/>
      <c r="C22" s="318"/>
      <c r="D22" s="318"/>
      <c r="E22" s="319"/>
      <c r="F22" s="320"/>
      <c r="G22" s="301">
        <f t="shared" si="1"/>
        <v>0</v>
      </c>
    </row>
    <row r="23" spans="2:7" s="124" customFormat="1" x14ac:dyDescent="0.2">
      <c r="B23" s="317"/>
      <c r="C23" s="318"/>
      <c r="D23" s="318"/>
      <c r="E23" s="319"/>
      <c r="F23" s="320"/>
      <c r="G23" s="301">
        <f t="shared" si="1"/>
        <v>0</v>
      </c>
    </row>
    <row r="24" spans="2:7" s="124" customFormat="1" x14ac:dyDescent="0.2">
      <c r="B24" s="317"/>
      <c r="C24" s="318"/>
      <c r="D24" s="318"/>
      <c r="E24" s="319"/>
      <c r="F24" s="320"/>
      <c r="G24" s="301">
        <f t="shared" si="1"/>
        <v>0</v>
      </c>
    </row>
    <row r="25" spans="2:7" s="124" customFormat="1" x14ac:dyDescent="0.2">
      <c r="B25" s="125"/>
      <c r="C25" s="126"/>
      <c r="D25" s="126"/>
      <c r="E25" s="127"/>
      <c r="F25" s="302" t="s">
        <v>154</v>
      </c>
      <c r="G25" s="302">
        <f>SUM(G19:G24)</f>
        <v>0</v>
      </c>
    </row>
    <row r="26" spans="2:7" s="124" customFormat="1" x14ac:dyDescent="0.2">
      <c r="B26" s="125"/>
      <c r="C26" s="126"/>
      <c r="D26" s="126"/>
      <c r="E26" s="127"/>
      <c r="F26" s="345" t="s">
        <v>155</v>
      </c>
      <c r="G26" s="303">
        <f>G25/12</f>
        <v>0</v>
      </c>
    </row>
    <row r="27" spans="2:7" s="124" customFormat="1" x14ac:dyDescent="0.2">
      <c r="B27" s="125"/>
      <c r="C27" s="126"/>
      <c r="D27" s="126"/>
      <c r="E27" s="127"/>
      <c r="F27" s="129"/>
      <c r="G27" s="304"/>
    </row>
    <row r="28" spans="2:7" s="310" customFormat="1" ht="15.75" x14ac:dyDescent="0.25">
      <c r="B28" s="467" t="s">
        <v>315</v>
      </c>
      <c r="C28" s="467"/>
      <c r="D28" s="467"/>
      <c r="E28" s="467"/>
      <c r="F28" s="309"/>
      <c r="G28" s="305"/>
    </row>
    <row r="29" spans="2:7" s="310" customFormat="1" x14ac:dyDescent="0.2">
      <c r="B29" s="463" t="s">
        <v>149</v>
      </c>
      <c r="C29" s="463" t="s">
        <v>56</v>
      </c>
      <c r="D29" s="463"/>
      <c r="E29" s="463" t="s">
        <v>150</v>
      </c>
      <c r="F29" s="309"/>
      <c r="G29" s="305"/>
    </row>
    <row r="30" spans="2:7" s="203" customFormat="1" x14ac:dyDescent="0.2">
      <c r="B30" s="463"/>
      <c r="C30" s="311" t="s">
        <v>151</v>
      </c>
      <c r="D30" s="311" t="s">
        <v>152</v>
      </c>
      <c r="E30" s="463"/>
      <c r="F30" s="312"/>
      <c r="G30" s="306"/>
    </row>
    <row r="31" spans="2:7" s="203" customFormat="1" ht="32.450000000000003" customHeight="1" x14ac:dyDescent="0.2">
      <c r="B31" s="465"/>
      <c r="C31" s="465"/>
      <c r="D31" s="465"/>
      <c r="E31" s="465"/>
      <c r="F31" s="307" t="s">
        <v>153</v>
      </c>
      <c r="G31" s="307" t="s">
        <v>154</v>
      </c>
    </row>
    <row r="32" spans="2:7" s="124" customFormat="1" ht="54.75" customHeight="1" x14ac:dyDescent="0.2">
      <c r="B32" s="466"/>
      <c r="C32" s="466"/>
      <c r="D32" s="466"/>
      <c r="E32" s="466"/>
      <c r="F32" s="320"/>
      <c r="G32" s="301">
        <f>F32*(C32+D32)</f>
        <v>0</v>
      </c>
    </row>
    <row r="33" spans="2:7" s="124" customFormat="1" x14ac:dyDescent="0.2">
      <c r="B33" s="317"/>
      <c r="C33" s="318"/>
      <c r="D33" s="318"/>
      <c r="E33" s="319"/>
      <c r="F33" s="320"/>
      <c r="G33" s="301">
        <f t="shared" ref="G33:G37" si="2">F33*(C33+D33)</f>
        <v>0</v>
      </c>
    </row>
    <row r="34" spans="2:7" s="124" customFormat="1" x14ac:dyDescent="0.2">
      <c r="B34" s="317"/>
      <c r="C34" s="318"/>
      <c r="D34" s="318"/>
      <c r="E34" s="319"/>
      <c r="F34" s="320"/>
      <c r="G34" s="301">
        <f t="shared" si="2"/>
        <v>0</v>
      </c>
    </row>
    <row r="35" spans="2:7" s="124" customFormat="1" x14ac:dyDescent="0.2">
      <c r="B35" s="317"/>
      <c r="C35" s="318"/>
      <c r="D35" s="318"/>
      <c r="E35" s="319"/>
      <c r="F35" s="320"/>
      <c r="G35" s="301">
        <f t="shared" si="2"/>
        <v>0</v>
      </c>
    </row>
    <row r="36" spans="2:7" s="124" customFormat="1" x14ac:dyDescent="0.2">
      <c r="B36" s="317"/>
      <c r="C36" s="318"/>
      <c r="D36" s="318"/>
      <c r="E36" s="319"/>
      <c r="F36" s="320"/>
      <c r="G36" s="301">
        <f t="shared" si="2"/>
        <v>0</v>
      </c>
    </row>
    <row r="37" spans="2:7" s="124" customFormat="1" x14ac:dyDescent="0.2">
      <c r="B37" s="317"/>
      <c r="C37" s="318"/>
      <c r="D37" s="318"/>
      <c r="E37" s="319"/>
      <c r="F37" s="320"/>
      <c r="G37" s="301">
        <f t="shared" si="2"/>
        <v>0</v>
      </c>
    </row>
    <row r="38" spans="2:7" s="124" customFormat="1" x14ac:dyDescent="0.2">
      <c r="B38" s="125"/>
      <c r="C38" s="126"/>
      <c r="D38" s="126"/>
      <c r="E38" s="127"/>
      <c r="F38" s="302" t="s">
        <v>154</v>
      </c>
      <c r="G38" s="302">
        <f>SUM(G32:G37)</f>
        <v>0</v>
      </c>
    </row>
    <row r="39" spans="2:7" s="124" customFormat="1" x14ac:dyDescent="0.2">
      <c r="B39" s="125"/>
      <c r="C39" s="126"/>
      <c r="D39" s="126"/>
      <c r="E39" s="127"/>
      <c r="F39" s="345" t="s">
        <v>155</v>
      </c>
      <c r="G39" s="303">
        <f>G38/12</f>
        <v>0</v>
      </c>
    </row>
    <row r="40" spans="2:7" x14ac:dyDescent="0.2">
      <c r="G40" s="308"/>
    </row>
  </sheetData>
  <mergeCells count="24">
    <mergeCell ref="B31:B32"/>
    <mergeCell ref="C31:C32"/>
    <mergeCell ref="D31:D32"/>
    <mergeCell ref="E31:E32"/>
    <mergeCell ref="B16:B17"/>
    <mergeCell ref="C16:D16"/>
    <mergeCell ref="E16:E17"/>
    <mergeCell ref="B28:E28"/>
    <mergeCell ref="B29:B30"/>
    <mergeCell ref="C29:D29"/>
    <mergeCell ref="E29:E30"/>
    <mergeCell ref="B18:B19"/>
    <mergeCell ref="C18:C19"/>
    <mergeCell ref="D18:D19"/>
    <mergeCell ref="E18:E19"/>
    <mergeCell ref="B2:E2"/>
    <mergeCell ref="B3:B4"/>
    <mergeCell ref="C3:D3"/>
    <mergeCell ref="E3:E4"/>
    <mergeCell ref="B15:E15"/>
    <mergeCell ref="B5:B6"/>
    <mergeCell ref="C5:C6"/>
    <mergeCell ref="D5:D6"/>
    <mergeCell ref="E5:E6"/>
  </mergeCells>
  <pageMargins left="0.511811024" right="0.511811024" top="0.78740157499999996" bottom="0.78740157499999996" header="0.31496062000000002" footer="0.31496062000000002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8"/>
  <sheetViews>
    <sheetView showZeros="0" topLeftCell="A19" workbookViewId="0">
      <selection activeCell="F47" sqref="F47:G47"/>
    </sheetView>
  </sheetViews>
  <sheetFormatPr defaultRowHeight="15" x14ac:dyDescent="0.25"/>
  <cols>
    <col min="1" max="1" width="7" customWidth="1"/>
    <col min="2" max="2" width="4.140625" customWidth="1"/>
    <col min="3" max="3" width="21.140625" customWidth="1"/>
    <col min="4" max="4" width="13.7109375" customWidth="1"/>
    <col min="5" max="5" width="13.5703125" customWidth="1"/>
    <col min="6" max="6" width="14.42578125" customWidth="1"/>
    <col min="7" max="7" width="15.140625" customWidth="1"/>
    <col min="8" max="8" width="16.5703125" customWidth="1"/>
    <col min="9" max="9" width="14.140625" customWidth="1"/>
    <col min="10" max="10" width="13.42578125" customWidth="1"/>
    <col min="11" max="13" width="11.28515625" customWidth="1"/>
  </cols>
  <sheetData>
    <row r="1" spans="2:11" s="201" customFormat="1" x14ac:dyDescent="0.25">
      <c r="B1" s="279"/>
      <c r="C1" s="280"/>
      <c r="D1" s="280"/>
      <c r="E1" s="280"/>
      <c r="F1" s="280"/>
      <c r="G1" s="280"/>
      <c r="H1" s="280"/>
      <c r="I1" s="280"/>
      <c r="J1" s="280"/>
    </row>
    <row r="2" spans="2:11" s="201" customFormat="1" ht="15" customHeight="1" x14ac:dyDescent="0.25">
      <c r="B2" s="493" t="s">
        <v>305</v>
      </c>
      <c r="C2" s="494" t="s">
        <v>310</v>
      </c>
      <c r="D2" s="495"/>
      <c r="E2" s="281"/>
      <c r="F2" s="281"/>
      <c r="G2" s="281"/>
      <c r="H2" s="281"/>
      <c r="I2" s="281"/>
      <c r="J2" s="281"/>
      <c r="K2" s="281"/>
    </row>
    <row r="3" spans="2:11" s="201" customFormat="1" x14ac:dyDescent="0.25">
      <c r="B3" s="493"/>
      <c r="C3" s="496"/>
      <c r="D3" s="497"/>
      <c r="E3" s="282" t="s">
        <v>255</v>
      </c>
      <c r="F3" s="281"/>
      <c r="G3" s="281"/>
      <c r="H3" s="281"/>
      <c r="I3" s="281"/>
      <c r="J3" s="281"/>
      <c r="K3" s="281"/>
    </row>
    <row r="4" spans="2:11" s="201" customFormat="1" x14ac:dyDescent="0.25">
      <c r="B4" s="493"/>
      <c r="C4" s="283" t="s">
        <v>243</v>
      </c>
      <c r="D4" s="284" t="s">
        <v>244</v>
      </c>
      <c r="E4" s="285" t="s">
        <v>245</v>
      </c>
      <c r="F4" s="285" t="s">
        <v>246</v>
      </c>
      <c r="G4" s="285" t="s">
        <v>247</v>
      </c>
      <c r="H4" s="285" t="s">
        <v>248</v>
      </c>
      <c r="I4" s="285" t="s">
        <v>249</v>
      </c>
      <c r="J4" s="285" t="s">
        <v>250</v>
      </c>
      <c r="K4" s="285" t="s">
        <v>80</v>
      </c>
    </row>
    <row r="5" spans="2:11" s="201" customFormat="1" x14ac:dyDescent="0.25">
      <c r="B5" s="493"/>
      <c r="C5" s="283">
        <v>1</v>
      </c>
      <c r="D5" s="286">
        <v>0.3666666666666667</v>
      </c>
      <c r="E5" s="287">
        <f>D5</f>
        <v>0.3666666666666667</v>
      </c>
      <c r="F5" s="287">
        <f t="shared" ref="F5:H5" si="0">E5</f>
        <v>0.3666666666666667</v>
      </c>
      <c r="G5" s="287">
        <f t="shared" si="0"/>
        <v>0.3666666666666667</v>
      </c>
      <c r="H5" s="287">
        <f t="shared" si="0"/>
        <v>0.3666666666666667</v>
      </c>
      <c r="I5" s="288"/>
      <c r="J5" s="289"/>
      <c r="K5" s="290">
        <f>HOUR(D5)+MINUTE(D5)/60+HOUR(E5)+MINUTE(E5)/60+HOUR(F5)+MINUTE(F5)/60+HOUR(G5)+MINUTE(G5)/60+HOUR(H5)+MINUTE(H5)/60</f>
        <v>44</v>
      </c>
    </row>
    <row r="6" spans="2:11" s="201" customFormat="1" x14ac:dyDescent="0.25">
      <c r="B6" s="493"/>
      <c r="C6" s="283">
        <v>2</v>
      </c>
      <c r="D6" s="286">
        <f>D5</f>
        <v>0.3666666666666667</v>
      </c>
      <c r="E6" s="286">
        <f t="shared" ref="E6:H8" si="1">E5</f>
        <v>0.3666666666666667</v>
      </c>
      <c r="F6" s="286">
        <f t="shared" si="1"/>
        <v>0.3666666666666667</v>
      </c>
      <c r="G6" s="286">
        <f t="shared" si="1"/>
        <v>0.3666666666666667</v>
      </c>
      <c r="H6" s="286">
        <f t="shared" si="1"/>
        <v>0.3666666666666667</v>
      </c>
      <c r="I6" s="288"/>
      <c r="J6" s="289"/>
      <c r="K6" s="290">
        <f t="shared" ref="K6:K9" si="2">HOUR(D6)+MINUTE(D6)/60+HOUR(E6)+MINUTE(E6)/60+HOUR(F6)+MINUTE(F6)/60+HOUR(G6)+MINUTE(G6)/60+HOUR(H6)+MINUTE(H6)/60</f>
        <v>44</v>
      </c>
    </row>
    <row r="7" spans="2:11" s="201" customFormat="1" x14ac:dyDescent="0.25">
      <c r="B7" s="493"/>
      <c r="C7" s="283">
        <v>3</v>
      </c>
      <c r="D7" s="286">
        <f>D6</f>
        <v>0.3666666666666667</v>
      </c>
      <c r="E7" s="286">
        <f t="shared" si="1"/>
        <v>0.3666666666666667</v>
      </c>
      <c r="F7" s="286">
        <f t="shared" si="1"/>
        <v>0.3666666666666667</v>
      </c>
      <c r="G7" s="286">
        <f t="shared" si="1"/>
        <v>0.3666666666666667</v>
      </c>
      <c r="H7" s="286">
        <f t="shared" si="1"/>
        <v>0.3666666666666667</v>
      </c>
      <c r="I7" s="288"/>
      <c r="J7" s="289"/>
      <c r="K7" s="290">
        <f t="shared" si="2"/>
        <v>44</v>
      </c>
    </row>
    <row r="8" spans="2:11" s="201" customFormat="1" x14ac:dyDescent="0.25">
      <c r="B8" s="493"/>
      <c r="C8" s="283">
        <v>4</v>
      </c>
      <c r="D8" s="286">
        <f>D7</f>
        <v>0.3666666666666667</v>
      </c>
      <c r="E8" s="286">
        <f t="shared" si="1"/>
        <v>0.3666666666666667</v>
      </c>
      <c r="F8" s="286">
        <f t="shared" si="1"/>
        <v>0.3666666666666667</v>
      </c>
      <c r="G8" s="286">
        <f t="shared" si="1"/>
        <v>0.3666666666666667</v>
      </c>
      <c r="H8" s="286">
        <f t="shared" si="1"/>
        <v>0.3666666666666667</v>
      </c>
      <c r="I8" s="288"/>
      <c r="J8" s="289"/>
      <c r="K8" s="290">
        <f t="shared" si="2"/>
        <v>44</v>
      </c>
    </row>
    <row r="9" spans="2:11" s="201" customFormat="1" x14ac:dyDescent="0.25">
      <c r="B9" s="493"/>
      <c r="C9" s="283">
        <v>5</v>
      </c>
      <c r="D9" s="286">
        <f>D8</f>
        <v>0.3666666666666667</v>
      </c>
      <c r="E9" s="286">
        <f>E8</f>
        <v>0.3666666666666667</v>
      </c>
      <c r="F9" s="288"/>
      <c r="G9" s="289"/>
      <c r="H9" s="289"/>
      <c r="I9" s="289"/>
      <c r="J9" s="289"/>
      <c r="K9" s="290">
        <f t="shared" si="2"/>
        <v>17.600000000000001</v>
      </c>
    </row>
    <row r="10" spans="2:11" s="201" customFormat="1" x14ac:dyDescent="0.25">
      <c r="B10" s="493"/>
      <c r="C10" s="283" t="s">
        <v>251</v>
      </c>
      <c r="D10" s="285">
        <f>COUNTIF(D5:J9,"&gt;0")</f>
        <v>22</v>
      </c>
      <c r="E10" s="281"/>
      <c r="F10" s="281"/>
      <c r="G10" s="281"/>
      <c r="H10" s="281"/>
      <c r="I10" s="281"/>
      <c r="J10" s="285" t="s">
        <v>80</v>
      </c>
      <c r="K10" s="290">
        <f>SUM(K5:K9)</f>
        <v>193.6</v>
      </c>
    </row>
    <row r="11" spans="2:11" s="201" customFormat="1" x14ac:dyDescent="0.25">
      <c r="B11" s="291"/>
      <c r="C11" s="291"/>
      <c r="D11" s="281"/>
      <c r="E11" s="281"/>
      <c r="F11" s="281"/>
      <c r="G11" s="281"/>
      <c r="H11" s="281"/>
      <c r="I11" s="292"/>
      <c r="J11" s="292"/>
      <c r="K11" s="293"/>
    </row>
    <row r="12" spans="2:11" s="201" customFormat="1" x14ac:dyDescent="0.25">
      <c r="B12" s="498" t="s">
        <v>312</v>
      </c>
      <c r="C12" s="499" t="s">
        <v>311</v>
      </c>
      <c r="D12" s="500"/>
      <c r="E12" s="281"/>
      <c r="F12" s="281"/>
      <c r="G12" s="281"/>
      <c r="H12" s="281"/>
      <c r="I12" s="281"/>
      <c r="J12" s="281"/>
      <c r="K12" s="281"/>
    </row>
    <row r="13" spans="2:11" s="201" customFormat="1" x14ac:dyDescent="0.25">
      <c r="B13" s="498"/>
      <c r="C13" s="501"/>
      <c r="D13" s="502"/>
      <c r="E13" s="282" t="s">
        <v>255</v>
      </c>
      <c r="F13" s="281"/>
      <c r="G13" s="281"/>
      <c r="H13" s="281"/>
      <c r="I13" s="281"/>
      <c r="J13" s="281"/>
      <c r="K13" s="281"/>
    </row>
    <row r="14" spans="2:11" s="201" customFormat="1" x14ac:dyDescent="0.25">
      <c r="B14" s="498"/>
      <c r="C14" s="283" t="s">
        <v>243</v>
      </c>
      <c r="D14" s="284" t="s">
        <v>244</v>
      </c>
      <c r="E14" s="285" t="s">
        <v>245</v>
      </c>
      <c r="F14" s="285" t="s">
        <v>246</v>
      </c>
      <c r="G14" s="285" t="s">
        <v>247</v>
      </c>
      <c r="H14" s="285" t="s">
        <v>248</v>
      </c>
      <c r="I14" s="285" t="s">
        <v>249</v>
      </c>
      <c r="J14" s="285" t="s">
        <v>250</v>
      </c>
      <c r="K14" s="285" t="s">
        <v>80</v>
      </c>
    </row>
    <row r="15" spans="2:11" s="201" customFormat="1" x14ac:dyDescent="0.25">
      <c r="B15" s="498"/>
      <c r="C15" s="283">
        <v>1</v>
      </c>
      <c r="D15" s="286">
        <v>0.3666666666666667</v>
      </c>
      <c r="E15" s="287">
        <f>D15</f>
        <v>0.3666666666666667</v>
      </c>
      <c r="F15" s="287">
        <f t="shared" ref="F15:H15" si="3">E15</f>
        <v>0.3666666666666667</v>
      </c>
      <c r="G15" s="287">
        <f t="shared" si="3"/>
        <v>0.3666666666666667</v>
      </c>
      <c r="H15" s="287">
        <f t="shared" si="3"/>
        <v>0.3666666666666667</v>
      </c>
      <c r="I15" s="288"/>
      <c r="J15" s="289"/>
      <c r="K15" s="290">
        <f>HOUR(D15)+MINUTE(D15)/60+HOUR(E15)+MINUTE(E15)/60+HOUR(F15)+MINUTE(F15)/60+HOUR(G15)+MINUTE(G15)/60+HOUR(H15)+MINUTE(H15)/60</f>
        <v>44</v>
      </c>
    </row>
    <row r="16" spans="2:11" s="201" customFormat="1" x14ac:dyDescent="0.25">
      <c r="B16" s="498"/>
      <c r="C16" s="283">
        <v>2</v>
      </c>
      <c r="D16" s="286">
        <f>D15</f>
        <v>0.3666666666666667</v>
      </c>
      <c r="E16" s="286">
        <f t="shared" ref="E16:H19" si="4">E15</f>
        <v>0.3666666666666667</v>
      </c>
      <c r="F16" s="286">
        <f t="shared" si="4"/>
        <v>0.3666666666666667</v>
      </c>
      <c r="G16" s="286">
        <f t="shared" si="4"/>
        <v>0.3666666666666667</v>
      </c>
      <c r="H16" s="286">
        <f t="shared" si="4"/>
        <v>0.3666666666666667</v>
      </c>
      <c r="I16" s="288"/>
      <c r="J16" s="289"/>
      <c r="K16" s="290">
        <f t="shared" ref="K16:K19" si="5">HOUR(D16)+MINUTE(D16)/60+HOUR(E16)+MINUTE(E16)/60+HOUR(F16)+MINUTE(F16)/60+HOUR(G16)+MINUTE(G16)/60+HOUR(H16)+MINUTE(H16)/60</f>
        <v>44</v>
      </c>
    </row>
    <row r="17" spans="2:11" s="201" customFormat="1" x14ac:dyDescent="0.25">
      <c r="B17" s="498"/>
      <c r="C17" s="283">
        <v>3</v>
      </c>
      <c r="D17" s="286">
        <f t="shared" ref="D17:D19" si="6">D16</f>
        <v>0.3666666666666667</v>
      </c>
      <c r="E17" s="286">
        <f t="shared" si="4"/>
        <v>0.3666666666666667</v>
      </c>
      <c r="F17" s="286">
        <f t="shared" si="4"/>
        <v>0.3666666666666667</v>
      </c>
      <c r="G17" s="286">
        <f t="shared" si="4"/>
        <v>0.3666666666666667</v>
      </c>
      <c r="H17" s="286">
        <f t="shared" si="4"/>
        <v>0.3666666666666667</v>
      </c>
      <c r="I17" s="288"/>
      <c r="J17" s="289"/>
      <c r="K17" s="290">
        <f t="shared" si="5"/>
        <v>44</v>
      </c>
    </row>
    <row r="18" spans="2:11" s="201" customFormat="1" x14ac:dyDescent="0.25">
      <c r="B18" s="498"/>
      <c r="C18" s="283">
        <v>4</v>
      </c>
      <c r="D18" s="286">
        <f t="shared" si="6"/>
        <v>0.3666666666666667</v>
      </c>
      <c r="E18" s="286">
        <f t="shared" si="4"/>
        <v>0.3666666666666667</v>
      </c>
      <c r="F18" s="286">
        <f t="shared" si="4"/>
        <v>0.3666666666666667</v>
      </c>
      <c r="G18" s="286">
        <f t="shared" si="4"/>
        <v>0.3666666666666667</v>
      </c>
      <c r="H18" s="286">
        <f t="shared" si="4"/>
        <v>0.3666666666666667</v>
      </c>
      <c r="I18" s="288"/>
      <c r="J18" s="289"/>
      <c r="K18" s="290">
        <f t="shared" si="5"/>
        <v>44</v>
      </c>
    </row>
    <row r="19" spans="2:11" s="201" customFormat="1" x14ac:dyDescent="0.25">
      <c r="B19" s="498"/>
      <c r="C19" s="283">
        <v>5</v>
      </c>
      <c r="D19" s="286">
        <f t="shared" si="6"/>
        <v>0.3666666666666667</v>
      </c>
      <c r="E19" s="286">
        <f t="shared" si="4"/>
        <v>0.3666666666666667</v>
      </c>
      <c r="F19" s="288"/>
      <c r="G19" s="289"/>
      <c r="H19" s="289"/>
      <c r="I19" s="289"/>
      <c r="J19" s="289"/>
      <c r="K19" s="290">
        <f t="shared" si="5"/>
        <v>17.600000000000001</v>
      </c>
    </row>
    <row r="20" spans="2:11" s="201" customFormat="1" x14ac:dyDescent="0.25">
      <c r="B20" s="498"/>
      <c r="C20" s="283" t="s">
        <v>251</v>
      </c>
      <c r="D20" s="285">
        <f>COUNTIF(D15:J19,"&gt;0")</f>
        <v>22</v>
      </c>
      <c r="E20" s="281"/>
      <c r="F20" s="281"/>
      <c r="G20" s="281"/>
      <c r="H20" s="281"/>
      <c r="I20" s="281"/>
      <c r="J20" s="285" t="s">
        <v>80</v>
      </c>
      <c r="K20" s="290">
        <f>SUM(K15:K19)</f>
        <v>193.6</v>
      </c>
    </row>
    <row r="21" spans="2:11" s="201" customFormat="1" x14ac:dyDescent="0.25">
      <c r="B21" s="293"/>
      <c r="C21" s="293"/>
      <c r="D21" s="293"/>
      <c r="E21" s="293"/>
      <c r="F21" s="293"/>
      <c r="G21" s="293"/>
      <c r="H21" s="293"/>
      <c r="I21" s="293"/>
      <c r="J21" s="293"/>
      <c r="K21" s="293"/>
    </row>
    <row r="22" spans="2:11" s="201" customFormat="1" x14ac:dyDescent="0.25">
      <c r="B22" s="504" t="s">
        <v>316</v>
      </c>
      <c r="C22" s="505" t="s">
        <v>315</v>
      </c>
      <c r="D22" s="506"/>
      <c r="E22" s="281"/>
      <c r="F22" s="281"/>
      <c r="G22" s="281"/>
      <c r="H22" s="281"/>
      <c r="I22" s="281"/>
      <c r="J22" s="281"/>
      <c r="K22" s="281"/>
    </row>
    <row r="23" spans="2:11" s="201" customFormat="1" x14ac:dyDescent="0.25">
      <c r="B23" s="504"/>
      <c r="C23" s="507"/>
      <c r="D23" s="508"/>
      <c r="E23" s="282" t="s">
        <v>255</v>
      </c>
      <c r="F23" s="281"/>
      <c r="G23" s="281"/>
      <c r="H23" s="281"/>
      <c r="I23" s="281"/>
      <c r="J23" s="281"/>
      <c r="K23" s="281"/>
    </row>
    <row r="24" spans="2:11" s="201" customFormat="1" x14ac:dyDescent="0.25">
      <c r="B24" s="504"/>
      <c r="C24" s="283" t="s">
        <v>243</v>
      </c>
      <c r="D24" s="284" t="s">
        <v>244</v>
      </c>
      <c r="E24" s="285" t="s">
        <v>245</v>
      </c>
      <c r="F24" s="285" t="s">
        <v>246</v>
      </c>
      <c r="G24" s="285" t="s">
        <v>247</v>
      </c>
      <c r="H24" s="285" t="s">
        <v>248</v>
      </c>
      <c r="I24" s="285" t="s">
        <v>249</v>
      </c>
      <c r="J24" s="285" t="s">
        <v>250</v>
      </c>
      <c r="K24" s="285" t="s">
        <v>80</v>
      </c>
    </row>
    <row r="25" spans="2:11" s="201" customFormat="1" x14ac:dyDescent="0.25">
      <c r="B25" s="504"/>
      <c r="C25" s="283">
        <v>1</v>
      </c>
      <c r="D25" s="286">
        <v>0.3666666666666667</v>
      </c>
      <c r="E25" s="287">
        <f>D25</f>
        <v>0.3666666666666667</v>
      </c>
      <c r="F25" s="287">
        <f t="shared" ref="F25" si="7">E25</f>
        <v>0.3666666666666667</v>
      </c>
      <c r="G25" s="287">
        <f t="shared" ref="G25" si="8">F25</f>
        <v>0.3666666666666667</v>
      </c>
      <c r="H25" s="287">
        <f t="shared" ref="H25" si="9">G25</f>
        <v>0.3666666666666667</v>
      </c>
      <c r="I25" s="288"/>
      <c r="J25" s="289"/>
      <c r="K25" s="290">
        <f>HOUR(D25)+MINUTE(D25)/60+HOUR(E25)+MINUTE(E25)/60+HOUR(F25)+MINUTE(F25)/60+HOUR(G25)+MINUTE(G25)/60+HOUR(H25)+MINUTE(H25)/60</f>
        <v>44</v>
      </c>
    </row>
    <row r="26" spans="2:11" s="201" customFormat="1" x14ac:dyDescent="0.25">
      <c r="B26" s="504"/>
      <c r="C26" s="283">
        <v>2</v>
      </c>
      <c r="D26" s="286">
        <f>D25</f>
        <v>0.3666666666666667</v>
      </c>
      <c r="E26" s="286">
        <f t="shared" ref="E26:H26" si="10">E25</f>
        <v>0.3666666666666667</v>
      </c>
      <c r="F26" s="286">
        <f t="shared" si="10"/>
        <v>0.3666666666666667</v>
      </c>
      <c r="G26" s="286">
        <f t="shared" si="10"/>
        <v>0.3666666666666667</v>
      </c>
      <c r="H26" s="286">
        <f t="shared" si="10"/>
        <v>0.3666666666666667</v>
      </c>
      <c r="I26" s="288"/>
      <c r="J26" s="289"/>
      <c r="K26" s="290">
        <f t="shared" ref="K26:K29" si="11">HOUR(D26)+MINUTE(D26)/60+HOUR(E26)+MINUTE(E26)/60+HOUR(F26)+MINUTE(F26)/60+HOUR(G26)+MINUTE(G26)/60+HOUR(H26)+MINUTE(H26)/60</f>
        <v>44</v>
      </c>
    </row>
    <row r="27" spans="2:11" s="201" customFormat="1" x14ac:dyDescent="0.25">
      <c r="B27" s="504"/>
      <c r="C27" s="283">
        <v>3</v>
      </c>
      <c r="D27" s="286">
        <f t="shared" ref="D27:H29" si="12">D26</f>
        <v>0.3666666666666667</v>
      </c>
      <c r="E27" s="286">
        <f t="shared" si="12"/>
        <v>0.3666666666666667</v>
      </c>
      <c r="F27" s="286">
        <f t="shared" si="12"/>
        <v>0.3666666666666667</v>
      </c>
      <c r="G27" s="286">
        <f t="shared" si="12"/>
        <v>0.3666666666666667</v>
      </c>
      <c r="H27" s="286">
        <f t="shared" si="12"/>
        <v>0.3666666666666667</v>
      </c>
      <c r="I27" s="288"/>
      <c r="J27" s="289"/>
      <c r="K27" s="290">
        <f t="shared" si="11"/>
        <v>44</v>
      </c>
    </row>
    <row r="28" spans="2:11" s="201" customFormat="1" x14ac:dyDescent="0.25">
      <c r="B28" s="504"/>
      <c r="C28" s="283">
        <v>4</v>
      </c>
      <c r="D28" s="286">
        <f t="shared" si="12"/>
        <v>0.3666666666666667</v>
      </c>
      <c r="E28" s="286">
        <f t="shared" si="12"/>
        <v>0.3666666666666667</v>
      </c>
      <c r="F28" s="286">
        <f t="shared" si="12"/>
        <v>0.3666666666666667</v>
      </c>
      <c r="G28" s="286">
        <f t="shared" si="12"/>
        <v>0.3666666666666667</v>
      </c>
      <c r="H28" s="286">
        <f t="shared" si="12"/>
        <v>0.3666666666666667</v>
      </c>
      <c r="I28" s="288"/>
      <c r="J28" s="289"/>
      <c r="K28" s="290">
        <f t="shared" si="11"/>
        <v>44</v>
      </c>
    </row>
    <row r="29" spans="2:11" s="201" customFormat="1" x14ac:dyDescent="0.25">
      <c r="B29" s="504"/>
      <c r="C29" s="283">
        <v>5</v>
      </c>
      <c r="D29" s="286">
        <f t="shared" si="12"/>
        <v>0.3666666666666667</v>
      </c>
      <c r="E29" s="286">
        <f t="shared" si="12"/>
        <v>0.3666666666666667</v>
      </c>
      <c r="F29" s="288"/>
      <c r="G29" s="289"/>
      <c r="H29" s="289"/>
      <c r="I29" s="289"/>
      <c r="J29" s="289"/>
      <c r="K29" s="290">
        <f t="shared" si="11"/>
        <v>17.600000000000001</v>
      </c>
    </row>
    <row r="30" spans="2:11" s="201" customFormat="1" x14ac:dyDescent="0.25">
      <c r="B30" s="504"/>
      <c r="C30" s="283" t="s">
        <v>251</v>
      </c>
      <c r="D30" s="285">
        <f>COUNTIF(D25:J29,"&gt;0")</f>
        <v>22</v>
      </c>
      <c r="E30" s="281"/>
      <c r="F30" s="281"/>
      <c r="G30" s="281"/>
      <c r="H30" s="281"/>
      <c r="I30" s="281"/>
      <c r="J30" s="285" t="s">
        <v>80</v>
      </c>
      <c r="K30" s="290">
        <f>SUM(K25:K29)</f>
        <v>193.6</v>
      </c>
    </row>
    <row r="31" spans="2:11" s="201" customFormat="1" x14ac:dyDescent="0.25"/>
    <row r="32" spans="2:11" s="201" customFormat="1" x14ac:dyDescent="0.25"/>
    <row r="33" spans="3:10" s="201" customFormat="1" x14ac:dyDescent="0.25">
      <c r="C33" s="503" t="s">
        <v>252</v>
      </c>
      <c r="D33" s="503"/>
      <c r="E33" s="503"/>
      <c r="F33" s="503"/>
      <c r="G33" s="503"/>
      <c r="H33" s="503"/>
      <c r="I33" s="503"/>
      <c r="J33" s="503"/>
    </row>
    <row r="34" spans="3:10" s="201" customFormat="1" ht="51" x14ac:dyDescent="0.25">
      <c r="C34" s="294" t="s">
        <v>253</v>
      </c>
      <c r="D34" s="294" t="s">
        <v>259</v>
      </c>
      <c r="E34" s="294" t="s">
        <v>321</v>
      </c>
      <c r="F34" s="294" t="s">
        <v>256</v>
      </c>
      <c r="G34" s="294" t="s">
        <v>320</v>
      </c>
      <c r="H34" s="294" t="s">
        <v>322</v>
      </c>
      <c r="I34" s="294" t="s">
        <v>319</v>
      </c>
      <c r="J34" s="294" t="s">
        <v>254</v>
      </c>
    </row>
    <row r="35" spans="3:10" s="201" customFormat="1" x14ac:dyDescent="0.25">
      <c r="C35" s="295" t="s">
        <v>313</v>
      </c>
      <c r="D35" s="295">
        <f>D30</f>
        <v>22</v>
      </c>
      <c r="E35" s="296">
        <f>$D$41</f>
        <v>5</v>
      </c>
      <c r="F35" s="297">
        <f>D42</f>
        <v>0</v>
      </c>
      <c r="G35" s="297">
        <f>D42</f>
        <v>0</v>
      </c>
      <c r="H35" s="296">
        <f>$D$41</f>
        <v>5</v>
      </c>
      <c r="I35" s="297">
        <f t="shared" ref="I35" si="13">SUM(E35:H35)</f>
        <v>10</v>
      </c>
      <c r="J35" s="297">
        <f t="shared" ref="J35" si="14">I35*D35</f>
        <v>220</v>
      </c>
    </row>
    <row r="36" spans="3:10" s="201" customFormat="1" x14ac:dyDescent="0.25">
      <c r="C36" s="295" t="s">
        <v>305</v>
      </c>
      <c r="D36" s="295">
        <f>D10</f>
        <v>22</v>
      </c>
      <c r="E36" s="296">
        <f>$D$41</f>
        <v>5</v>
      </c>
      <c r="F36" s="297">
        <f>D42</f>
        <v>0</v>
      </c>
      <c r="G36" s="297">
        <f>D42</f>
        <v>0</v>
      </c>
      <c r="H36" s="296">
        <f>$D$41</f>
        <v>5</v>
      </c>
      <c r="I36" s="297">
        <f>SUM(E36:H36)</f>
        <v>10</v>
      </c>
      <c r="J36" s="297">
        <f>I36*D36</f>
        <v>220</v>
      </c>
    </row>
    <row r="37" spans="3:10" s="201" customFormat="1" x14ac:dyDescent="0.25">
      <c r="C37" s="295" t="s">
        <v>312</v>
      </c>
      <c r="D37" s="295">
        <f>D20</f>
        <v>22</v>
      </c>
      <c r="E37" s="296">
        <f>$D$41</f>
        <v>5</v>
      </c>
      <c r="F37" s="297">
        <f>D42</f>
        <v>0</v>
      </c>
      <c r="G37" s="297">
        <f>D42</f>
        <v>0</v>
      </c>
      <c r="H37" s="296">
        <f>$D$41</f>
        <v>5</v>
      </c>
      <c r="I37" s="297">
        <f t="shared" ref="I37" si="15">SUM(E37:H37)</f>
        <v>10</v>
      </c>
      <c r="J37" s="297">
        <f t="shared" ref="J37" si="16">I37*D37</f>
        <v>220</v>
      </c>
    </row>
    <row r="38" spans="3:10" s="201" customFormat="1" ht="30" customHeight="1" x14ac:dyDescent="0.25">
      <c r="C38" s="468" t="s">
        <v>261</v>
      </c>
      <c r="D38" s="469"/>
      <c r="E38" s="469"/>
      <c r="F38" s="469"/>
      <c r="G38" s="469"/>
      <c r="H38" s="469"/>
      <c r="I38" s="469"/>
      <c r="J38" s="470"/>
    </row>
    <row r="39" spans="3:10" s="201" customFormat="1" x14ac:dyDescent="0.25">
      <c r="C39" s="298"/>
      <c r="D39" s="298"/>
      <c r="E39" s="298"/>
      <c r="F39" s="298"/>
      <c r="G39" s="298"/>
      <c r="H39" s="298"/>
      <c r="I39" s="298"/>
    </row>
    <row r="40" spans="3:10" s="201" customFormat="1" x14ac:dyDescent="0.25">
      <c r="C40" s="471" t="s">
        <v>257</v>
      </c>
      <c r="D40" s="472"/>
      <c r="E40" s="471" t="s">
        <v>258</v>
      </c>
      <c r="F40" s="473"/>
      <c r="G40" s="473"/>
      <c r="H40" s="473"/>
      <c r="I40" s="473"/>
      <c r="J40" s="472"/>
    </row>
    <row r="41" spans="3:10" s="201" customFormat="1" x14ac:dyDescent="0.25">
      <c r="C41" s="299" t="s">
        <v>336</v>
      </c>
      <c r="D41" s="300">
        <v>5</v>
      </c>
      <c r="E41" s="483" t="s">
        <v>317</v>
      </c>
      <c r="F41" s="484"/>
      <c r="G41" s="484"/>
      <c r="H41" s="484"/>
      <c r="I41" s="484"/>
      <c r="J41" s="485"/>
    </row>
    <row r="42" spans="3:10" s="201" customFormat="1" ht="15" customHeight="1" x14ac:dyDescent="0.25">
      <c r="C42" s="299" t="s">
        <v>323</v>
      </c>
      <c r="D42" s="300">
        <v>0</v>
      </c>
      <c r="E42" s="486" t="s">
        <v>317</v>
      </c>
      <c r="F42" s="487"/>
      <c r="G42" s="487"/>
      <c r="H42" s="487"/>
      <c r="I42" s="487"/>
      <c r="J42" s="488"/>
    </row>
    <row r="43" spans="3:10" s="201" customFormat="1" ht="30" customHeight="1" x14ac:dyDescent="0.25"/>
    <row r="44" spans="3:10" s="201" customFormat="1" x14ac:dyDescent="0.25"/>
    <row r="45" spans="3:10" s="201" customFormat="1" x14ac:dyDescent="0.25">
      <c r="C45" s="477" t="s">
        <v>174</v>
      </c>
      <c r="D45" s="478"/>
      <c r="E45" s="478"/>
      <c r="F45" s="478"/>
      <c r="G45" s="478"/>
      <c r="H45" s="478"/>
      <c r="I45" s="479"/>
    </row>
    <row r="46" spans="3:10" s="201" customFormat="1" ht="15" customHeight="1" x14ac:dyDescent="0.25">
      <c r="C46" s="480" t="s">
        <v>259</v>
      </c>
      <c r="D46" s="480"/>
      <c r="E46" s="480"/>
      <c r="F46" s="481" t="s">
        <v>260</v>
      </c>
      <c r="G46" s="482"/>
      <c r="H46" s="480" t="s">
        <v>254</v>
      </c>
      <c r="I46" s="480"/>
    </row>
    <row r="47" spans="3:10" s="201" customFormat="1" x14ac:dyDescent="0.25">
      <c r="C47" s="489">
        <v>22</v>
      </c>
      <c r="D47" s="489"/>
      <c r="E47" s="489"/>
      <c r="F47" s="490">
        <v>29.5</v>
      </c>
      <c r="G47" s="491"/>
      <c r="H47" s="492">
        <f>F47*C47</f>
        <v>649</v>
      </c>
      <c r="I47" s="492"/>
    </row>
    <row r="48" spans="3:10" s="201" customFormat="1" ht="26.25" customHeight="1" x14ac:dyDescent="0.25">
      <c r="C48" s="474" t="s">
        <v>318</v>
      </c>
      <c r="D48" s="475"/>
      <c r="E48" s="475"/>
      <c r="F48" s="475"/>
      <c r="G48" s="475"/>
      <c r="H48" s="475"/>
      <c r="I48" s="476"/>
    </row>
  </sheetData>
  <mergeCells count="20">
    <mergeCell ref="B2:B10"/>
    <mergeCell ref="C2:D3"/>
    <mergeCell ref="B12:B20"/>
    <mergeCell ref="C12:D13"/>
    <mergeCell ref="C33:J33"/>
    <mergeCell ref="B22:B30"/>
    <mergeCell ref="C22:D23"/>
    <mergeCell ref="C38:J38"/>
    <mergeCell ref="C40:D40"/>
    <mergeCell ref="E40:J40"/>
    <mergeCell ref="C48:I48"/>
    <mergeCell ref="C45:I45"/>
    <mergeCell ref="C46:E46"/>
    <mergeCell ref="F46:G46"/>
    <mergeCell ref="H46:I46"/>
    <mergeCell ref="E41:J41"/>
    <mergeCell ref="E42:J42"/>
    <mergeCell ref="C47:E47"/>
    <mergeCell ref="F47:G47"/>
    <mergeCell ref="H47:I47"/>
  </mergeCells>
  <hyperlinks>
    <hyperlink ref="E42" r:id="rId1" location="lista" display="http://www.antt.gov.br/index.php/content/view/4906/Espaco_do_Passageiro.html#lista"/>
  </hyperlinks>
  <pageMargins left="0.511811024" right="0.511811024" top="0.78740157499999996" bottom="0.78740157499999996" header="0.31496062000000002" footer="0.31496062000000002"/>
  <pageSetup paperSize="9" orientation="portrait" horizont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M95"/>
  <sheetViews>
    <sheetView showGridLines="0" zoomScaleNormal="100" workbookViewId="0">
      <selection activeCell="K17" sqref="K17"/>
    </sheetView>
  </sheetViews>
  <sheetFormatPr defaultRowHeight="25.5" x14ac:dyDescent="0.35"/>
  <cols>
    <col min="1" max="1" width="4.85546875" customWidth="1"/>
    <col min="2" max="2" width="9.140625" style="131"/>
    <col min="3" max="3" width="111.5703125" style="132" customWidth="1"/>
    <col min="4" max="4" width="24" style="133" customWidth="1"/>
    <col min="5" max="5" width="19.7109375" style="134" customWidth="1"/>
    <col min="6" max="6" width="3" customWidth="1"/>
    <col min="7" max="7" width="37.5703125" style="135" hidden="1" customWidth="1"/>
    <col min="8" max="8" width="25.140625" hidden="1" customWidth="1"/>
    <col min="9" max="9" width="20.7109375" hidden="1" customWidth="1"/>
    <col min="10" max="10" width="18.7109375" customWidth="1"/>
    <col min="11" max="11" width="44.140625" customWidth="1"/>
    <col min="13" max="13" width="9.140625" customWidth="1"/>
  </cols>
  <sheetData>
    <row r="1" spans="2:9" ht="20.25" customHeight="1" thickBot="1" x14ac:dyDescent="0.4"/>
    <row r="2" spans="2:9" s="201" customFormat="1" ht="26.25" customHeight="1" x14ac:dyDescent="0.35">
      <c r="B2" s="542" t="s">
        <v>302</v>
      </c>
      <c r="C2" s="543"/>
      <c r="D2" s="543"/>
      <c r="E2" s="544"/>
      <c r="F2" s="203"/>
      <c r="G2" s="202"/>
    </row>
    <row r="3" spans="2:9" s="201" customFormat="1" ht="55.5" customHeight="1" x14ac:dyDescent="0.35">
      <c r="B3" s="270" t="s">
        <v>84</v>
      </c>
      <c r="C3" s="205" t="s">
        <v>158</v>
      </c>
      <c r="D3" s="206" t="s">
        <v>159</v>
      </c>
      <c r="E3" s="380" t="s">
        <v>160</v>
      </c>
      <c r="F3" s="203"/>
      <c r="G3" s="239"/>
    </row>
    <row r="4" spans="2:9" s="201" customFormat="1" ht="27" customHeight="1" x14ac:dyDescent="0.35">
      <c r="B4" s="208"/>
      <c r="C4" s="209" t="s">
        <v>161</v>
      </c>
      <c r="D4" s="210"/>
      <c r="E4" s="375"/>
      <c r="F4" s="203"/>
      <c r="G4" s="239"/>
    </row>
    <row r="5" spans="2:9" s="201" customFormat="1" x14ac:dyDescent="0.35">
      <c r="B5" s="268" t="s">
        <v>6</v>
      </c>
      <c r="C5" s="213" t="s">
        <v>162</v>
      </c>
      <c r="D5" s="277"/>
      <c r="E5" s="381"/>
      <c r="F5" s="203"/>
      <c r="G5" s="239"/>
    </row>
    <row r="6" spans="2:9" s="201" customFormat="1" x14ac:dyDescent="0.35">
      <c r="B6" s="268" t="s">
        <v>7</v>
      </c>
      <c r="C6" s="214" t="s">
        <v>301</v>
      </c>
      <c r="D6" s="277"/>
      <c r="E6" s="381"/>
      <c r="F6" s="203"/>
      <c r="G6" s="202"/>
    </row>
    <row r="7" spans="2:9" s="201" customFormat="1" ht="34.5" customHeight="1" x14ac:dyDescent="0.35">
      <c r="B7" s="268" t="s">
        <v>8</v>
      </c>
      <c r="C7" s="213" t="s">
        <v>164</v>
      </c>
      <c r="D7" s="277"/>
      <c r="E7" s="381"/>
      <c r="F7" s="203"/>
      <c r="G7" s="202"/>
    </row>
    <row r="8" spans="2:9" s="201" customFormat="1" x14ac:dyDescent="0.35">
      <c r="B8" s="268" t="s">
        <v>9</v>
      </c>
      <c r="C8" s="213" t="s">
        <v>165</v>
      </c>
      <c r="D8" s="277"/>
      <c r="E8" s="381"/>
      <c r="F8" s="203"/>
      <c r="G8" s="202"/>
    </row>
    <row r="9" spans="2:9" s="201" customFormat="1" x14ac:dyDescent="0.35">
      <c r="B9" s="268" t="s">
        <v>10</v>
      </c>
      <c r="C9" s="213" t="s">
        <v>166</v>
      </c>
      <c r="D9" s="277"/>
      <c r="E9" s="381"/>
      <c r="F9" s="203"/>
      <c r="G9" s="202"/>
    </row>
    <row r="10" spans="2:9" s="201" customFormat="1" x14ac:dyDescent="0.35">
      <c r="B10" s="268" t="s">
        <v>11</v>
      </c>
      <c r="C10" s="213" t="s">
        <v>167</v>
      </c>
      <c r="D10" s="277"/>
      <c r="E10" s="381"/>
      <c r="F10" s="203"/>
      <c r="G10" s="202"/>
    </row>
    <row r="11" spans="2:9" s="201" customFormat="1" x14ac:dyDescent="0.35">
      <c r="B11" s="268" t="s">
        <v>12</v>
      </c>
      <c r="C11" s="213" t="s">
        <v>169</v>
      </c>
      <c r="D11" s="277"/>
      <c r="E11" s="381"/>
      <c r="F11" s="203"/>
      <c r="G11" s="202"/>
    </row>
    <row r="12" spans="2:9" s="201" customFormat="1" ht="24.75" customHeight="1" x14ac:dyDescent="0.35">
      <c r="B12" s="264"/>
      <c r="C12" s="216" t="s">
        <v>170</v>
      </c>
      <c r="D12" s="206"/>
      <c r="E12" s="376">
        <f>SUM(E5:E11)</f>
        <v>0</v>
      </c>
      <c r="F12" s="203"/>
      <c r="G12" s="202"/>
    </row>
    <row r="13" spans="2:9" s="201" customFormat="1" ht="26.25" customHeight="1" x14ac:dyDescent="0.35">
      <c r="B13" s="208"/>
      <c r="C13" s="209" t="s">
        <v>171</v>
      </c>
      <c r="D13" s="210"/>
      <c r="E13" s="375"/>
      <c r="F13" s="203"/>
      <c r="G13" s="202"/>
    </row>
    <row r="14" spans="2:9" s="201" customFormat="1" x14ac:dyDescent="0.35">
      <c r="B14" s="217" t="s">
        <v>6</v>
      </c>
      <c r="C14" s="218" t="s">
        <v>172</v>
      </c>
      <c r="D14" s="219"/>
      <c r="E14" s="378">
        <v>0</v>
      </c>
      <c r="F14" s="203"/>
      <c r="G14" s="202"/>
    </row>
    <row r="15" spans="2:9" s="201" customFormat="1" x14ac:dyDescent="0.35">
      <c r="B15" s="217" t="s">
        <v>7</v>
      </c>
      <c r="C15" s="218" t="s">
        <v>173</v>
      </c>
      <c r="D15" s="219"/>
      <c r="E15" s="391">
        <f>-1*6/100*E5</f>
        <v>0</v>
      </c>
      <c r="F15" s="203"/>
      <c r="G15" s="202"/>
    </row>
    <row r="16" spans="2:9" s="201" customFormat="1" x14ac:dyDescent="0.35">
      <c r="B16" s="217" t="s">
        <v>8</v>
      </c>
      <c r="C16" s="218" t="s">
        <v>174</v>
      </c>
      <c r="D16" s="219"/>
      <c r="E16" s="378">
        <v>0</v>
      </c>
      <c r="F16" s="203"/>
      <c r="G16" s="220"/>
      <c r="H16" s="221"/>
      <c r="I16" s="222"/>
    </row>
    <row r="17" spans="2:11" s="201" customFormat="1" ht="31.5" customHeight="1" x14ac:dyDescent="0.35">
      <c r="B17" s="217" t="s">
        <v>9</v>
      </c>
      <c r="C17" s="218" t="s">
        <v>262</v>
      </c>
      <c r="D17" s="219"/>
      <c r="E17" s="378"/>
      <c r="F17" s="203"/>
      <c r="G17" s="202"/>
    </row>
    <row r="18" spans="2:11" s="201" customFormat="1" x14ac:dyDescent="0.35">
      <c r="B18" s="217" t="s">
        <v>10</v>
      </c>
      <c r="C18" s="218" t="s">
        <v>263</v>
      </c>
      <c r="D18" s="219"/>
      <c r="E18" s="378"/>
      <c r="F18" s="203"/>
      <c r="G18" s="202"/>
    </row>
    <row r="19" spans="2:11" s="201" customFormat="1" x14ac:dyDescent="0.35">
      <c r="B19" s="217" t="s">
        <v>11</v>
      </c>
      <c r="C19" s="218" t="s">
        <v>264</v>
      </c>
      <c r="D19" s="219"/>
      <c r="E19" s="378"/>
      <c r="F19" s="203"/>
      <c r="G19" s="202"/>
    </row>
    <row r="20" spans="2:11" s="201" customFormat="1" ht="27" customHeight="1" x14ac:dyDescent="0.35">
      <c r="B20" s="217" t="s">
        <v>12</v>
      </c>
      <c r="C20" s="353" t="s">
        <v>337</v>
      </c>
      <c r="D20" s="219"/>
      <c r="E20" s="378"/>
      <c r="F20" s="203"/>
      <c r="G20" s="202"/>
    </row>
    <row r="21" spans="2:11" s="201" customFormat="1" ht="27" customHeight="1" x14ac:dyDescent="0.35">
      <c r="B21" s="223"/>
      <c r="C21" s="216" t="s">
        <v>175</v>
      </c>
      <c r="D21" s="224"/>
      <c r="E21" s="385">
        <f>SUM(E14:E20)</f>
        <v>0</v>
      </c>
      <c r="F21" s="203"/>
      <c r="G21" s="202"/>
    </row>
    <row r="22" spans="2:11" s="201" customFormat="1" ht="23.25" customHeight="1" x14ac:dyDescent="0.35">
      <c r="B22" s="208"/>
      <c r="C22" s="225" t="s">
        <v>176</v>
      </c>
      <c r="D22" s="226"/>
      <c r="E22" s="377"/>
      <c r="F22" s="203"/>
      <c r="G22" s="202"/>
    </row>
    <row r="23" spans="2:11" s="201" customFormat="1" x14ac:dyDescent="0.35">
      <c r="B23" s="217" t="s">
        <v>6</v>
      </c>
      <c r="C23" s="218" t="s">
        <v>177</v>
      </c>
      <c r="D23" s="219"/>
      <c r="E23" s="378">
        <v>0</v>
      </c>
      <c r="F23" s="203"/>
      <c r="G23" s="202"/>
    </row>
    <row r="24" spans="2:11" s="201" customFormat="1" x14ac:dyDescent="0.35">
      <c r="B24" s="217" t="s">
        <v>7</v>
      </c>
      <c r="C24" s="218" t="s">
        <v>339</v>
      </c>
      <c r="D24" s="219"/>
      <c r="E24" s="378"/>
      <c r="F24" s="203"/>
      <c r="G24" s="202"/>
    </row>
    <row r="25" spans="2:11" s="201" customFormat="1" x14ac:dyDescent="0.35">
      <c r="B25" s="217" t="s">
        <v>8</v>
      </c>
      <c r="C25" s="218" t="s">
        <v>340</v>
      </c>
      <c r="D25" s="219"/>
      <c r="E25" s="378"/>
      <c r="F25" s="203"/>
      <c r="G25" s="202"/>
    </row>
    <row r="26" spans="2:11" s="201" customFormat="1" x14ac:dyDescent="0.35">
      <c r="B26" s="217" t="s">
        <v>9</v>
      </c>
      <c r="C26" s="218" t="s">
        <v>169</v>
      </c>
      <c r="D26" s="219"/>
      <c r="E26" s="378"/>
      <c r="F26" s="203"/>
      <c r="G26" s="202"/>
    </row>
    <row r="27" spans="2:11" s="201" customFormat="1" ht="26.25" customHeight="1" x14ac:dyDescent="0.35">
      <c r="B27" s="223"/>
      <c r="C27" s="216" t="s">
        <v>180</v>
      </c>
      <c r="D27" s="224"/>
      <c r="E27" s="385">
        <f>SUM(E23:E26)</f>
        <v>0</v>
      </c>
      <c r="F27" s="203"/>
      <c r="G27" s="202"/>
    </row>
    <row r="28" spans="2:11" s="201" customFormat="1" ht="24.75" customHeight="1" x14ac:dyDescent="0.35">
      <c r="B28" s="208"/>
      <c r="C28" s="225" t="s">
        <v>181</v>
      </c>
      <c r="D28" s="226"/>
      <c r="E28" s="377"/>
      <c r="F28" s="203"/>
      <c r="G28" s="202"/>
    </row>
    <row r="29" spans="2:11" s="201" customFormat="1" ht="26.25" customHeight="1" x14ac:dyDescent="0.35">
      <c r="B29" s="229"/>
      <c r="C29" s="216" t="s">
        <v>182</v>
      </c>
      <c r="D29" s="265"/>
      <c r="E29" s="379"/>
      <c r="F29" s="203"/>
      <c r="G29" s="202"/>
    </row>
    <row r="30" spans="2:11" s="201" customFormat="1" x14ac:dyDescent="0.35">
      <c r="B30" s="217" t="s">
        <v>6</v>
      </c>
      <c r="C30" s="406" t="s">
        <v>183</v>
      </c>
      <c r="D30" s="392">
        <v>0.2</v>
      </c>
      <c r="E30" s="391">
        <f>ROUND($D30*E$12,2)</f>
        <v>0</v>
      </c>
      <c r="F30" s="203"/>
      <c r="G30" s="202"/>
    </row>
    <row r="31" spans="2:11" s="201" customFormat="1" x14ac:dyDescent="0.25">
      <c r="B31" s="217" t="s">
        <v>7</v>
      </c>
      <c r="C31" s="407" t="s">
        <v>303</v>
      </c>
      <c r="D31" s="392">
        <v>1.4999999999999999E-2</v>
      </c>
      <c r="E31" s="391">
        <f t="shared" ref="E31:E37" si="0">ROUND($D31*E$12,2)</f>
        <v>0</v>
      </c>
      <c r="F31" s="203"/>
      <c r="G31" s="231"/>
      <c r="H31" s="228"/>
      <c r="I31" s="228"/>
      <c r="J31" s="228"/>
      <c r="K31" s="228"/>
    </row>
    <row r="32" spans="2:11" s="201" customFormat="1" x14ac:dyDescent="0.35">
      <c r="B32" s="217" t="s">
        <v>8</v>
      </c>
      <c r="C32" s="406" t="s">
        <v>304</v>
      </c>
      <c r="D32" s="392">
        <v>0.01</v>
      </c>
      <c r="E32" s="391">
        <f t="shared" si="0"/>
        <v>0</v>
      </c>
      <c r="F32" s="203"/>
      <c r="G32" s="227"/>
      <c r="H32" s="545"/>
      <c r="I32" s="545"/>
      <c r="J32" s="545"/>
      <c r="K32" s="545"/>
    </row>
    <row r="33" spans="2:13" s="201" customFormat="1" x14ac:dyDescent="0.35">
      <c r="B33" s="217" t="s">
        <v>9</v>
      </c>
      <c r="C33" s="406" t="s">
        <v>186</v>
      </c>
      <c r="D33" s="392">
        <v>2E-3</v>
      </c>
      <c r="E33" s="391">
        <f t="shared" si="0"/>
        <v>0</v>
      </c>
      <c r="F33" s="203"/>
      <c r="G33" s="227"/>
      <c r="H33" s="232"/>
      <c r="I33" s="232"/>
      <c r="J33" s="232"/>
      <c r="K33" s="232"/>
    </row>
    <row r="34" spans="2:13" s="201" customFormat="1" x14ac:dyDescent="0.35">
      <c r="B34" s="217" t="s">
        <v>10</v>
      </c>
      <c r="C34" s="406" t="s">
        <v>187</v>
      </c>
      <c r="D34" s="392">
        <v>2.5000000000000001E-2</v>
      </c>
      <c r="E34" s="391">
        <f t="shared" si="0"/>
        <v>0</v>
      </c>
      <c r="F34" s="203"/>
      <c r="G34" s="227"/>
      <c r="H34" s="233"/>
      <c r="I34" s="234"/>
      <c r="J34" s="235"/>
      <c r="K34" s="235"/>
    </row>
    <row r="35" spans="2:13" s="201" customFormat="1" ht="31.5" customHeight="1" x14ac:dyDescent="0.35">
      <c r="B35" s="217" t="s">
        <v>11</v>
      </c>
      <c r="C35" s="408" t="s">
        <v>188</v>
      </c>
      <c r="D35" s="392">
        <v>0.08</v>
      </c>
      <c r="E35" s="391">
        <f t="shared" si="0"/>
        <v>0</v>
      </c>
      <c r="F35" s="203"/>
      <c r="G35" s="227"/>
      <c r="H35" s="228"/>
      <c r="I35" s="228"/>
      <c r="J35" s="228"/>
      <c r="K35" s="228"/>
    </row>
    <row r="36" spans="2:13" s="201" customFormat="1" x14ac:dyDescent="0.25">
      <c r="B36" s="217" t="s">
        <v>12</v>
      </c>
      <c r="C36" s="409" t="s">
        <v>189</v>
      </c>
      <c r="D36" s="393">
        <v>0.03</v>
      </c>
      <c r="E36" s="391">
        <f t="shared" si="0"/>
        <v>0</v>
      </c>
      <c r="F36" s="203"/>
      <c r="G36" s="231"/>
    </row>
    <row r="37" spans="2:13" s="201" customFormat="1" x14ac:dyDescent="0.35">
      <c r="B37" s="217" t="s">
        <v>13</v>
      </c>
      <c r="C37" s="406" t="s">
        <v>190</v>
      </c>
      <c r="D37" s="392">
        <v>6.0000000000000001E-3</v>
      </c>
      <c r="E37" s="391">
        <f t="shared" si="0"/>
        <v>0</v>
      </c>
      <c r="F37" s="203"/>
      <c r="G37" s="202"/>
    </row>
    <row r="38" spans="2:13" s="201" customFormat="1" ht="27" customHeight="1" x14ac:dyDescent="0.35">
      <c r="B38" s="264"/>
      <c r="C38" s="236" t="s">
        <v>191</v>
      </c>
      <c r="D38" s="387">
        <f>SUM(D30:D37)</f>
        <v>0.3680000000000001</v>
      </c>
      <c r="E38" s="385">
        <f>SUM(E30:E37)</f>
        <v>0</v>
      </c>
      <c r="F38" s="203"/>
      <c r="G38" s="239"/>
    </row>
    <row r="39" spans="2:13" s="201" customFormat="1" ht="24.75" customHeight="1" x14ac:dyDescent="0.35">
      <c r="B39" s="229"/>
      <c r="C39" s="216" t="s">
        <v>192</v>
      </c>
      <c r="D39" s="384"/>
      <c r="E39" s="388"/>
      <c r="F39" s="203"/>
      <c r="G39" s="202"/>
      <c r="M39" s="347"/>
    </row>
    <row r="40" spans="2:13" s="201" customFormat="1" ht="29.25" customHeight="1" x14ac:dyDescent="0.35">
      <c r="B40" s="217" t="s">
        <v>6</v>
      </c>
      <c r="C40" s="238" t="s">
        <v>193</v>
      </c>
      <c r="D40" s="395">
        <f>1/12</f>
        <v>8.3333333333333329E-2</v>
      </c>
      <c r="E40" s="391">
        <f>ROUND($D40*E$12,2)</f>
        <v>0</v>
      </c>
      <c r="F40" s="203"/>
      <c r="G40" s="202"/>
    </row>
    <row r="41" spans="2:13" s="201" customFormat="1" ht="30.75" customHeight="1" x14ac:dyDescent="0.35">
      <c r="B41" s="217" t="s">
        <v>7</v>
      </c>
      <c r="C41" s="238" t="s">
        <v>194</v>
      </c>
      <c r="D41" s="395">
        <f>1/12*1/3</f>
        <v>2.7777777777777776E-2</v>
      </c>
      <c r="E41" s="391">
        <f t="shared" ref="E41:E42" si="1">ROUND($D41*E$12,2)</f>
        <v>0</v>
      </c>
      <c r="F41" s="203"/>
      <c r="G41" s="202"/>
    </row>
    <row r="42" spans="2:13" s="201" customFormat="1" ht="30.75" customHeight="1" x14ac:dyDescent="0.35">
      <c r="B42" s="217" t="s">
        <v>8</v>
      </c>
      <c r="C42" s="218" t="s">
        <v>195</v>
      </c>
      <c r="D42" s="395">
        <v>4.0599999999999997E-2</v>
      </c>
      <c r="E42" s="391">
        <f t="shared" si="1"/>
        <v>0</v>
      </c>
      <c r="F42" s="203"/>
      <c r="G42" s="202"/>
    </row>
    <row r="43" spans="2:13" s="201" customFormat="1" ht="24.75" customHeight="1" x14ac:dyDescent="0.35">
      <c r="B43" s="229"/>
      <c r="C43" s="216" t="s">
        <v>196</v>
      </c>
      <c r="D43" s="387">
        <f>SUM(D40:D42)</f>
        <v>0.1517111111111111</v>
      </c>
      <c r="E43" s="385">
        <f>SUM(E40:E42)</f>
        <v>0</v>
      </c>
      <c r="F43" s="203"/>
      <c r="G43" s="239"/>
    </row>
    <row r="44" spans="2:13" s="201" customFormat="1" ht="23.25" customHeight="1" x14ac:dyDescent="0.35">
      <c r="B44" s="229"/>
      <c r="C44" s="216" t="s">
        <v>197</v>
      </c>
      <c r="D44" s="384"/>
      <c r="E44" s="388"/>
      <c r="F44" s="203"/>
      <c r="G44" s="202"/>
    </row>
    <row r="45" spans="2:13" s="201" customFormat="1" ht="30.75" customHeight="1" x14ac:dyDescent="0.25">
      <c r="B45" s="217" t="s">
        <v>6</v>
      </c>
      <c r="C45" s="218" t="s">
        <v>198</v>
      </c>
      <c r="D45" s="396">
        <f>((1+1/3)/12)*2/100*4/12</f>
        <v>7.407407407407407E-4</v>
      </c>
      <c r="E45" s="390">
        <f>ROUND($D45*E$12,2)</f>
        <v>0</v>
      </c>
      <c r="F45" s="203"/>
      <c r="G45" s="546"/>
    </row>
    <row r="46" spans="2:13" s="201" customFormat="1" ht="31.15" customHeight="1" x14ac:dyDescent="0.25">
      <c r="B46" s="217" t="s">
        <v>7</v>
      </c>
      <c r="C46" s="218" t="s">
        <v>199</v>
      </c>
      <c r="D46" s="396">
        <f>D38*D45</f>
        <v>2.7259259259259267E-4</v>
      </c>
      <c r="E46" s="390">
        <f t="shared" ref="E46:E47" si="2">ROUND($D46*E$12,2)</f>
        <v>0</v>
      </c>
      <c r="F46" s="203"/>
      <c r="G46" s="546"/>
    </row>
    <row r="47" spans="2:13" s="201" customFormat="1" ht="31.9" customHeight="1" x14ac:dyDescent="0.25">
      <c r="B47" s="217" t="s">
        <v>8</v>
      </c>
      <c r="C47" s="218" t="s">
        <v>200</v>
      </c>
      <c r="D47" s="396">
        <f>D38*(2/100*4/12)</f>
        <v>2.4533333333333343E-3</v>
      </c>
      <c r="E47" s="390">
        <f t="shared" si="2"/>
        <v>0</v>
      </c>
      <c r="F47" s="203"/>
      <c r="G47" s="241"/>
    </row>
    <row r="48" spans="2:13" s="201" customFormat="1" ht="23.25" customHeight="1" x14ac:dyDescent="0.35">
      <c r="B48" s="229"/>
      <c r="C48" s="216" t="s">
        <v>201</v>
      </c>
      <c r="D48" s="387">
        <f>SUM(D45:D47)</f>
        <v>3.4666666666666674E-3</v>
      </c>
      <c r="E48" s="385">
        <f>SUM(E45:E47)</f>
        <v>0</v>
      </c>
      <c r="F48" s="203"/>
      <c r="G48" s="239"/>
    </row>
    <row r="49" spans="2:9" s="201" customFormat="1" ht="25.5" customHeight="1" x14ac:dyDescent="0.35">
      <c r="B49" s="229"/>
      <c r="C49" s="216" t="s">
        <v>202</v>
      </c>
      <c r="D49" s="384"/>
      <c r="E49" s="388"/>
      <c r="F49" s="203"/>
      <c r="G49" s="202"/>
    </row>
    <row r="50" spans="2:9" s="201" customFormat="1" ht="33" customHeight="1" x14ac:dyDescent="0.35">
      <c r="B50" s="217" t="s">
        <v>6</v>
      </c>
      <c r="C50" s="242" t="s">
        <v>203</v>
      </c>
      <c r="D50" s="395">
        <f>((1/12)*3.5/100)+(((1/12)*3.5/100)*(1/12+((1+1/3)/12)))</f>
        <v>3.4837962962962956E-3</v>
      </c>
      <c r="E50" s="391">
        <f>ROUND($D50*E$12,2)</f>
        <v>0</v>
      </c>
      <c r="F50" s="203"/>
      <c r="G50" s="202"/>
    </row>
    <row r="51" spans="2:9" s="201" customFormat="1" ht="34.5" customHeight="1" x14ac:dyDescent="0.35">
      <c r="B51" s="217" t="s">
        <v>7</v>
      </c>
      <c r="C51" s="218" t="s">
        <v>204</v>
      </c>
      <c r="D51" s="397">
        <f>D38*(1/12*(3.5/100))*1/12</f>
        <v>8.944444444444447E-5</v>
      </c>
      <c r="E51" s="391">
        <f t="shared" ref="E51:E54" si="3">ROUND($D51*E$12,2)</f>
        <v>0</v>
      </c>
      <c r="F51" s="203"/>
      <c r="G51" s="202"/>
    </row>
    <row r="52" spans="2:9" s="201" customFormat="1" ht="30.75" customHeight="1" x14ac:dyDescent="0.35">
      <c r="B52" s="217" t="s">
        <v>8</v>
      </c>
      <c r="C52" s="218" t="s">
        <v>205</v>
      </c>
      <c r="D52" s="397">
        <f>8/100*50/100*D50</f>
        <v>1.3935185185185182E-4</v>
      </c>
      <c r="E52" s="391">
        <f t="shared" si="3"/>
        <v>0</v>
      </c>
      <c r="F52" s="203"/>
      <c r="G52" s="202"/>
    </row>
    <row r="53" spans="2:9" s="201" customFormat="1" ht="29.25" customHeight="1" x14ac:dyDescent="0.35">
      <c r="B53" s="217" t="s">
        <v>9</v>
      </c>
      <c r="C53" s="218" t="s">
        <v>206</v>
      </c>
      <c r="D53" s="395">
        <f>8/100*50/100</f>
        <v>0.04</v>
      </c>
      <c r="E53" s="391">
        <f t="shared" si="3"/>
        <v>0</v>
      </c>
      <c r="F53" s="203"/>
      <c r="G53" s="202"/>
    </row>
    <row r="54" spans="2:9" s="201" customFormat="1" ht="27" customHeight="1" x14ac:dyDescent="0.35">
      <c r="B54" s="217" t="s">
        <v>10</v>
      </c>
      <c r="C54" s="218" t="s">
        <v>207</v>
      </c>
      <c r="D54" s="395">
        <f>1/12*1/100</f>
        <v>8.3333333333333328E-4</v>
      </c>
      <c r="E54" s="391">
        <f t="shared" si="3"/>
        <v>0</v>
      </c>
      <c r="F54" s="203"/>
      <c r="G54" s="202"/>
    </row>
    <row r="55" spans="2:9" s="201" customFormat="1" ht="24" customHeight="1" x14ac:dyDescent="0.35">
      <c r="B55" s="229"/>
      <c r="C55" s="216" t="s">
        <v>208</v>
      </c>
      <c r="D55" s="387">
        <f>SUM(D50:D54)</f>
        <v>4.4545925925925926E-2</v>
      </c>
      <c r="E55" s="385">
        <f>SUM(E50:E54)</f>
        <v>0</v>
      </c>
      <c r="F55" s="203"/>
      <c r="G55" s="239"/>
      <c r="I55" s="243"/>
    </row>
    <row r="56" spans="2:9" s="201" customFormat="1" ht="22.5" customHeight="1" x14ac:dyDescent="0.35">
      <c r="B56" s="229"/>
      <c r="C56" s="244" t="s">
        <v>209</v>
      </c>
      <c r="D56" s="384"/>
      <c r="E56" s="388"/>
      <c r="F56" s="203"/>
      <c r="G56" s="202"/>
    </row>
    <row r="57" spans="2:9" s="201" customFormat="1" x14ac:dyDescent="0.35">
      <c r="B57" s="217" t="s">
        <v>6</v>
      </c>
      <c r="C57" s="245" t="s">
        <v>210</v>
      </c>
      <c r="D57" s="395">
        <f>1/12</f>
        <v>8.3333333333333329E-2</v>
      </c>
      <c r="E57" s="391">
        <f>ROUND($D57*E$12,2)</f>
        <v>0</v>
      </c>
      <c r="F57" s="203"/>
      <c r="G57" s="246"/>
    </row>
    <row r="58" spans="2:9" s="201" customFormat="1" x14ac:dyDescent="0.35">
      <c r="B58" s="217" t="s">
        <v>7</v>
      </c>
      <c r="C58" s="247" t="s">
        <v>211</v>
      </c>
      <c r="D58" s="395">
        <f>(4.14*1/12*1/30)</f>
        <v>1.15E-2</v>
      </c>
      <c r="E58" s="391">
        <f t="shared" ref="E58:E64" si="4">ROUND($D58*E$12,2)</f>
        <v>0</v>
      </c>
      <c r="F58" s="203"/>
      <c r="G58" s="202"/>
    </row>
    <row r="59" spans="2:9" s="201" customFormat="1" x14ac:dyDescent="0.35">
      <c r="B59" s="217" t="s">
        <v>8</v>
      </c>
      <c r="C59" s="247" t="s">
        <v>212</v>
      </c>
      <c r="D59" s="395">
        <f>5*1/12*1/30*1.5/100</f>
        <v>2.0833333333333335E-4</v>
      </c>
      <c r="E59" s="391">
        <f t="shared" si="4"/>
        <v>0</v>
      </c>
      <c r="F59" s="203"/>
      <c r="G59" s="202"/>
    </row>
    <row r="60" spans="2:9" s="201" customFormat="1" x14ac:dyDescent="0.35">
      <c r="B60" s="217" t="s">
        <v>9</v>
      </c>
      <c r="C60" s="247" t="s">
        <v>213</v>
      </c>
      <c r="D60" s="395">
        <f>1*1/12*1/30</f>
        <v>2.7777777777777775E-3</v>
      </c>
      <c r="E60" s="391">
        <f t="shared" si="4"/>
        <v>0</v>
      </c>
      <c r="F60" s="203"/>
      <c r="G60" s="202"/>
    </row>
    <row r="61" spans="2:9" s="201" customFormat="1" x14ac:dyDescent="0.25">
      <c r="B61" s="217" t="s">
        <v>10</v>
      </c>
      <c r="C61" s="247" t="s">
        <v>214</v>
      </c>
      <c r="D61" s="396">
        <f>15*1/12*1/30*8/100</f>
        <v>3.3333333333333331E-3</v>
      </c>
      <c r="E61" s="391">
        <f t="shared" si="4"/>
        <v>0</v>
      </c>
      <c r="F61" s="203"/>
      <c r="G61" s="248"/>
    </row>
    <row r="62" spans="2:9" s="201" customFormat="1" x14ac:dyDescent="0.35">
      <c r="B62" s="217" t="s">
        <v>11</v>
      </c>
      <c r="C62" s="245" t="s">
        <v>215</v>
      </c>
      <c r="D62" s="395">
        <f>7*1/12*1/30*5/100</f>
        <v>9.7222222222222219E-4</v>
      </c>
      <c r="E62" s="391">
        <f t="shared" si="4"/>
        <v>0</v>
      </c>
      <c r="F62" s="203"/>
      <c r="G62" s="202"/>
    </row>
    <row r="63" spans="2:9" s="201" customFormat="1" x14ac:dyDescent="0.35">
      <c r="B63" s="217" t="s">
        <v>12</v>
      </c>
      <c r="C63" s="247" t="s">
        <v>216</v>
      </c>
      <c r="D63" s="395">
        <f>D38*(SUM(D57:D62))</f>
        <v>3.7582000000000011E-2</v>
      </c>
      <c r="E63" s="391">
        <f t="shared" si="4"/>
        <v>0</v>
      </c>
      <c r="F63" s="203"/>
      <c r="G63" s="202"/>
    </row>
    <row r="64" spans="2:9" s="201" customFormat="1" ht="31.5" customHeight="1" x14ac:dyDescent="0.35">
      <c r="B64" s="217" t="s">
        <v>13</v>
      </c>
      <c r="C64" s="247" t="s">
        <v>217</v>
      </c>
      <c r="D64" s="395">
        <f>(D43+D48+D55)*SUM(D57:D62)</f>
        <v>2.0396783240740742E-2</v>
      </c>
      <c r="E64" s="391">
        <f t="shared" si="4"/>
        <v>0</v>
      </c>
      <c r="F64" s="203"/>
      <c r="G64" s="202"/>
    </row>
    <row r="65" spans="2:9" s="201" customFormat="1" x14ac:dyDescent="0.35">
      <c r="B65" s="526" t="s">
        <v>218</v>
      </c>
      <c r="C65" s="527"/>
      <c r="D65" s="398">
        <f>SUM(D57:D64)</f>
        <v>0.16010378324074073</v>
      </c>
      <c r="E65" s="386">
        <f>SUM(E57:E64)</f>
        <v>0</v>
      </c>
      <c r="F65" s="203"/>
      <c r="G65" s="239"/>
    </row>
    <row r="66" spans="2:9" s="201" customFormat="1" x14ac:dyDescent="0.35">
      <c r="B66" s="541" t="s">
        <v>219</v>
      </c>
      <c r="C66" s="527"/>
      <c r="D66" s="387">
        <f>D38+D43+D48+D55+D65</f>
        <v>0.72782748694444444</v>
      </c>
      <c r="E66" s="385">
        <f>E38+E43+E48+E55+E65</f>
        <v>0</v>
      </c>
      <c r="F66" s="203"/>
      <c r="G66" s="239"/>
    </row>
    <row r="67" spans="2:9" s="201" customFormat="1" ht="26.25" thickBot="1" x14ac:dyDescent="0.3">
      <c r="B67" s="547" t="s">
        <v>220</v>
      </c>
      <c r="C67" s="548"/>
      <c r="D67" s="399"/>
      <c r="E67" s="389">
        <f>E12+E21+E27+E66</f>
        <v>0</v>
      </c>
      <c r="F67" s="203"/>
      <c r="G67" s="250">
        <f>E67</f>
        <v>0</v>
      </c>
    </row>
    <row r="68" spans="2:9" s="201" customFormat="1" ht="20.25" customHeight="1" x14ac:dyDescent="0.25">
      <c r="B68" s="251" t="s">
        <v>40</v>
      </c>
      <c r="C68" s="514"/>
      <c r="D68" s="515"/>
      <c r="E68" s="515"/>
      <c r="F68" s="203"/>
      <c r="G68" s="252"/>
    </row>
    <row r="69" spans="2:9" s="201" customFormat="1" ht="33" customHeight="1" x14ac:dyDescent="0.25">
      <c r="B69" s="253" t="s">
        <v>265</v>
      </c>
      <c r="C69" s="516" t="s">
        <v>338</v>
      </c>
      <c r="D69" s="517"/>
      <c r="E69" s="518"/>
      <c r="F69" s="203"/>
      <c r="G69" s="252"/>
    </row>
    <row r="70" spans="2:9" s="201" customFormat="1" ht="53.25" customHeight="1" x14ac:dyDescent="0.25">
      <c r="B70" s="254" t="s">
        <v>266</v>
      </c>
      <c r="C70" s="519" t="s">
        <v>267</v>
      </c>
      <c r="D70" s="519"/>
      <c r="E70" s="519"/>
      <c r="F70" s="203"/>
      <c r="G70" s="252"/>
    </row>
    <row r="71" spans="2:9" s="201" customFormat="1" ht="16.5" customHeight="1" x14ac:dyDescent="0.25">
      <c r="B71" s="255"/>
      <c r="C71" s="256"/>
      <c r="D71" s="257"/>
      <c r="E71" s="258"/>
      <c r="F71" s="203"/>
      <c r="G71" s="252"/>
    </row>
    <row r="72" spans="2:9" s="201" customFormat="1" ht="29.25" customHeight="1" x14ac:dyDescent="0.35">
      <c r="B72" s="523" t="s">
        <v>221</v>
      </c>
      <c r="C72" s="524"/>
      <c r="D72" s="524"/>
      <c r="E72" s="525"/>
      <c r="F72" s="203"/>
      <c r="G72" s="259"/>
    </row>
    <row r="73" spans="2:9" s="201" customFormat="1" ht="29.25" customHeight="1" x14ac:dyDescent="0.35">
      <c r="B73" s="372" t="s">
        <v>6</v>
      </c>
      <c r="C73" s="373" t="s">
        <v>222</v>
      </c>
      <c r="D73" s="374">
        <v>0</v>
      </c>
      <c r="E73" s="400">
        <f>D73*E67</f>
        <v>0</v>
      </c>
      <c r="F73" s="203"/>
      <c r="G73" s="259"/>
    </row>
    <row r="74" spans="2:9" s="201" customFormat="1" x14ac:dyDescent="0.35">
      <c r="B74" s="217" t="s">
        <v>7</v>
      </c>
      <c r="C74" s="218" t="s">
        <v>223</v>
      </c>
      <c r="D74" s="276">
        <v>0</v>
      </c>
      <c r="E74" s="391">
        <f>D74*(E67+E73)</f>
        <v>0</v>
      </c>
      <c r="F74" s="203"/>
      <c r="G74" s="259"/>
    </row>
    <row r="75" spans="2:9" s="201" customFormat="1" x14ac:dyDescent="0.35">
      <c r="B75" s="526" t="s">
        <v>224</v>
      </c>
      <c r="C75" s="527"/>
      <c r="D75" s="224"/>
      <c r="E75" s="386">
        <f>E73+E74</f>
        <v>0</v>
      </c>
      <c r="F75" s="203"/>
      <c r="G75" s="260">
        <f>E75</f>
        <v>0</v>
      </c>
    </row>
    <row r="76" spans="2:9" s="201" customFormat="1" x14ac:dyDescent="0.35">
      <c r="B76" s="528" t="s">
        <v>225</v>
      </c>
      <c r="C76" s="529"/>
      <c r="D76" s="261"/>
      <c r="E76" s="401"/>
      <c r="F76" s="203"/>
      <c r="G76" s="259"/>
    </row>
    <row r="77" spans="2:9" s="201" customFormat="1" x14ac:dyDescent="0.35">
      <c r="B77" s="262" t="s">
        <v>8</v>
      </c>
      <c r="C77" s="410" t="s">
        <v>349</v>
      </c>
      <c r="D77" s="240" t="s">
        <v>227</v>
      </c>
      <c r="E77" s="402"/>
      <c r="F77" s="203"/>
      <c r="G77" s="259"/>
    </row>
    <row r="78" spans="2:9" s="201" customFormat="1" x14ac:dyDescent="0.25">
      <c r="B78" s="217"/>
      <c r="C78" s="409" t="s">
        <v>228</v>
      </c>
      <c r="D78" s="276">
        <v>0</v>
      </c>
      <c r="E78" s="391">
        <f>$D78*E$90</f>
        <v>0</v>
      </c>
      <c r="F78" s="203"/>
      <c r="G78" s="250">
        <f>D78*E90</f>
        <v>0</v>
      </c>
      <c r="H78" s="537" t="s">
        <v>229</v>
      </c>
      <c r="I78" s="538"/>
    </row>
    <row r="79" spans="2:9" s="201" customFormat="1" x14ac:dyDescent="0.25">
      <c r="B79" s="217"/>
      <c r="C79" s="409" t="s">
        <v>2</v>
      </c>
      <c r="D79" s="278">
        <v>0</v>
      </c>
      <c r="E79" s="391">
        <f>$D79*E$90</f>
        <v>0</v>
      </c>
      <c r="F79" s="203"/>
      <c r="G79" s="250">
        <f>D79*E90</f>
        <v>0</v>
      </c>
    </row>
    <row r="80" spans="2:9" s="201" customFormat="1" x14ac:dyDescent="0.25">
      <c r="B80" s="217"/>
      <c r="C80" s="409" t="s">
        <v>3</v>
      </c>
      <c r="D80" s="278">
        <v>0</v>
      </c>
      <c r="E80" s="391">
        <f>$D80*E$90</f>
        <v>0</v>
      </c>
      <c r="F80" s="203"/>
      <c r="G80" s="250">
        <f>D80*E90</f>
        <v>0</v>
      </c>
    </row>
    <row r="81" spans="2:9" s="201" customFormat="1" x14ac:dyDescent="0.35">
      <c r="B81" s="539" t="s">
        <v>230</v>
      </c>
      <c r="C81" s="540"/>
      <c r="D81" s="387">
        <f>SUM(D78:D80)</f>
        <v>0</v>
      </c>
      <c r="E81" s="386">
        <f>D81*E90</f>
        <v>0</v>
      </c>
      <c r="F81" s="203"/>
      <c r="G81" s="259"/>
      <c r="I81" s="266"/>
    </row>
    <row r="82" spans="2:9" s="201" customFormat="1" x14ac:dyDescent="0.35">
      <c r="B82" s="541" t="s">
        <v>231</v>
      </c>
      <c r="C82" s="527"/>
      <c r="D82" s="224"/>
      <c r="E82" s="403"/>
      <c r="F82" s="203"/>
      <c r="G82" s="267"/>
    </row>
    <row r="83" spans="2:9" s="201" customFormat="1" ht="28.5" customHeight="1" x14ac:dyDescent="0.35">
      <c r="B83" s="520" t="s">
        <v>232</v>
      </c>
      <c r="C83" s="521"/>
      <c r="D83" s="521"/>
      <c r="E83" s="522"/>
      <c r="F83" s="530"/>
      <c r="G83" s="269"/>
    </row>
    <row r="84" spans="2:9" s="201" customFormat="1" ht="27.75" customHeight="1" x14ac:dyDescent="0.35">
      <c r="B84" s="520" t="s">
        <v>233</v>
      </c>
      <c r="C84" s="521"/>
      <c r="D84" s="521"/>
      <c r="E84" s="522"/>
      <c r="F84" s="530"/>
      <c r="G84" s="259"/>
    </row>
    <row r="85" spans="2:9" s="201" customFormat="1" ht="29.25" customHeight="1" x14ac:dyDescent="0.35">
      <c r="B85" s="520" t="s">
        <v>234</v>
      </c>
      <c r="C85" s="521"/>
      <c r="D85" s="521"/>
      <c r="E85" s="522"/>
      <c r="F85" s="530"/>
      <c r="G85" s="259"/>
    </row>
    <row r="86" spans="2:9" s="201" customFormat="1" ht="23.25" customHeight="1" x14ac:dyDescent="0.35">
      <c r="B86" s="520" t="s">
        <v>235</v>
      </c>
      <c r="C86" s="521"/>
      <c r="D86" s="521"/>
      <c r="E86" s="522"/>
      <c r="F86" s="530"/>
      <c r="G86" s="259"/>
    </row>
    <row r="87" spans="2:9" s="201" customFormat="1" ht="24.75" customHeight="1" x14ac:dyDescent="0.35">
      <c r="B87" s="520" t="s">
        <v>236</v>
      </c>
      <c r="C87" s="521"/>
      <c r="D87" s="521"/>
      <c r="E87" s="522"/>
      <c r="F87" s="530"/>
      <c r="G87" s="259"/>
    </row>
    <row r="88" spans="2:9" s="201" customFormat="1" ht="27.75" customHeight="1" x14ac:dyDescent="0.35">
      <c r="B88" s="531" t="s">
        <v>237</v>
      </c>
      <c r="C88" s="532"/>
      <c r="D88" s="532"/>
      <c r="E88" s="533"/>
      <c r="F88" s="530"/>
      <c r="G88" s="259"/>
    </row>
    <row r="89" spans="2:9" s="201" customFormat="1" ht="27" customHeight="1" x14ac:dyDescent="0.35">
      <c r="B89" s="534" t="s">
        <v>238</v>
      </c>
      <c r="C89" s="535"/>
      <c r="D89" s="535"/>
      <c r="E89" s="536"/>
      <c r="F89" s="530"/>
      <c r="G89" s="259"/>
    </row>
    <row r="90" spans="2:9" s="201" customFormat="1" x14ac:dyDescent="0.25">
      <c r="B90" s="509" t="s">
        <v>239</v>
      </c>
      <c r="C90" s="510"/>
      <c r="D90" s="271"/>
      <c r="E90" s="404">
        <f>(E67+E75)/(1-D81)</f>
        <v>0</v>
      </c>
      <c r="F90" s="203"/>
      <c r="G90" s="250">
        <f>G67+G75+G78+G79+G80</f>
        <v>0</v>
      </c>
    </row>
    <row r="91" spans="2:9" s="201" customFormat="1" x14ac:dyDescent="0.35">
      <c r="B91" s="511" t="s">
        <v>240</v>
      </c>
      <c r="C91" s="512"/>
      <c r="D91" s="513"/>
      <c r="E91" s="405" t="e">
        <f>(E81+E75)/E67</f>
        <v>#DIV/0!</v>
      </c>
      <c r="G91" s="272" t="e">
        <f>E91*E67</f>
        <v>#DIV/0!</v>
      </c>
      <c r="H91" s="273">
        <f>E81+E75</f>
        <v>0</v>
      </c>
    </row>
    <row r="92" spans="2:9" s="201" customFormat="1" x14ac:dyDescent="0.35">
      <c r="B92" s="197"/>
      <c r="C92" s="198"/>
      <c r="D92" s="274"/>
      <c r="E92" s="200"/>
      <c r="G92" s="202"/>
    </row>
    <row r="93" spans="2:9" s="201" customFormat="1" x14ac:dyDescent="0.35">
      <c r="B93" s="197"/>
      <c r="C93" s="198"/>
      <c r="D93" s="199"/>
      <c r="E93" s="200"/>
      <c r="G93" s="202"/>
    </row>
    <row r="95" spans="2:9" x14ac:dyDescent="0.35">
      <c r="D95" s="136"/>
    </row>
  </sheetData>
  <sheetProtection algorithmName="SHA-512" hashValue="x+Ayd6+qLZndpPgxoLKJee0kklsXCClCj1seKH3mQN2eUTvFLLSHksUb3a7mOeapdbTVwg401qhlzQrfJ6oyUg==" saltValue="v2izwRw1uljaw1jmr5r/9g==" spinCount="100000" sheet="1" objects="1" scenarios="1"/>
  <mergeCells count="25">
    <mergeCell ref="H78:I78"/>
    <mergeCell ref="B81:C81"/>
    <mergeCell ref="B82:C82"/>
    <mergeCell ref="B2:E2"/>
    <mergeCell ref="H32:K32"/>
    <mergeCell ref="G45:G46"/>
    <mergeCell ref="B65:C65"/>
    <mergeCell ref="B66:C66"/>
    <mergeCell ref="B67:C67"/>
    <mergeCell ref="F83:F89"/>
    <mergeCell ref="B84:E84"/>
    <mergeCell ref="B85:E85"/>
    <mergeCell ref="B86:E86"/>
    <mergeCell ref="B87:E87"/>
    <mergeCell ref="B88:E88"/>
    <mergeCell ref="B89:E89"/>
    <mergeCell ref="B90:C90"/>
    <mergeCell ref="B91:D91"/>
    <mergeCell ref="C68:E68"/>
    <mergeCell ref="C69:E69"/>
    <mergeCell ref="C70:E70"/>
    <mergeCell ref="B83:E83"/>
    <mergeCell ref="B72:E72"/>
    <mergeCell ref="B75:C75"/>
    <mergeCell ref="B76:C76"/>
  </mergeCells>
  <printOptions horizontalCentered="1" verticalCentered="1"/>
  <pageMargins left="0.39370078740157483" right="0.39370078740157483" top="0.39370078740157483" bottom="0.39370078740157483" header="0" footer="0"/>
  <pageSetup paperSize="9" scale="34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K97"/>
  <sheetViews>
    <sheetView zoomScaleNormal="100" workbookViewId="0">
      <selection activeCell="D80" sqref="D80"/>
    </sheetView>
  </sheetViews>
  <sheetFormatPr defaultRowHeight="25.5" x14ac:dyDescent="0.35"/>
  <cols>
    <col min="1" max="1" width="4.85546875" customWidth="1"/>
    <col min="2" max="2" width="9.140625" style="131"/>
    <col min="3" max="3" width="111.5703125" style="132" customWidth="1"/>
    <col min="4" max="4" width="27.140625" style="133" customWidth="1"/>
    <col min="5" max="5" width="23.5703125" style="134" customWidth="1"/>
    <col min="6" max="6" width="3" customWidth="1"/>
    <col min="7" max="7" width="37.5703125" style="135" hidden="1" customWidth="1"/>
    <col min="8" max="8" width="25.140625" hidden="1" customWidth="1"/>
    <col min="9" max="9" width="20.7109375" hidden="1" customWidth="1"/>
    <col min="10" max="10" width="18.7109375" customWidth="1"/>
    <col min="11" max="11" width="44.140625" customWidth="1"/>
  </cols>
  <sheetData>
    <row r="1" spans="2:11" ht="36.75" customHeight="1" thickBot="1" x14ac:dyDescent="0.4"/>
    <row r="2" spans="2:11" s="201" customFormat="1" ht="27.75" customHeight="1" x14ac:dyDescent="0.35">
      <c r="B2" s="556" t="s">
        <v>334</v>
      </c>
      <c r="C2" s="557"/>
      <c r="D2" s="557"/>
      <c r="E2" s="558"/>
      <c r="F2" s="203"/>
      <c r="G2" s="202"/>
    </row>
    <row r="3" spans="2:11" s="201" customFormat="1" x14ac:dyDescent="0.35">
      <c r="B3" s="204" t="s">
        <v>84</v>
      </c>
      <c r="C3" s="205" t="s">
        <v>158</v>
      </c>
      <c r="D3" s="206" t="s">
        <v>159</v>
      </c>
      <c r="E3" s="207" t="s">
        <v>160</v>
      </c>
      <c r="F3" s="203"/>
      <c r="G3" s="202"/>
    </row>
    <row r="4" spans="2:11" s="201" customFormat="1" ht="30.75" customHeight="1" x14ac:dyDescent="0.35">
      <c r="B4" s="208"/>
      <c r="C4" s="209" t="s">
        <v>161</v>
      </c>
      <c r="D4" s="210"/>
      <c r="E4" s="211"/>
      <c r="F4" s="203"/>
      <c r="G4" s="202"/>
    </row>
    <row r="5" spans="2:11" s="201" customFormat="1" x14ac:dyDescent="0.35">
      <c r="B5" s="212" t="s">
        <v>6</v>
      </c>
      <c r="C5" s="213" t="s">
        <v>162</v>
      </c>
      <c r="D5" s="277"/>
      <c r="E5" s="382">
        <v>0</v>
      </c>
      <c r="F5" s="203"/>
      <c r="G5" s="202"/>
    </row>
    <row r="6" spans="2:11" s="201" customFormat="1" x14ac:dyDescent="0.35">
      <c r="B6" s="212" t="s">
        <v>7</v>
      </c>
      <c r="C6" s="214" t="s">
        <v>163</v>
      </c>
      <c r="D6" s="277"/>
      <c r="E6" s="382"/>
      <c r="F6" s="203"/>
      <c r="G6" s="202"/>
    </row>
    <row r="7" spans="2:11" s="202" customFormat="1" ht="34.5" customHeight="1" x14ac:dyDescent="0.35">
      <c r="B7" s="212" t="s">
        <v>8</v>
      </c>
      <c r="C7" s="213" t="s">
        <v>164</v>
      </c>
      <c r="D7" s="277"/>
      <c r="E7" s="382"/>
      <c r="F7" s="203"/>
      <c r="H7" s="201"/>
      <c r="I7" s="201"/>
      <c r="J7" s="201"/>
      <c r="K7" s="201"/>
    </row>
    <row r="8" spans="2:11" s="202" customFormat="1" x14ac:dyDescent="0.35">
      <c r="B8" s="212" t="s">
        <v>9</v>
      </c>
      <c r="C8" s="213" t="s">
        <v>165</v>
      </c>
      <c r="D8" s="277"/>
      <c r="E8" s="382"/>
      <c r="F8" s="203"/>
      <c r="H8" s="201"/>
      <c r="I8" s="201"/>
      <c r="J8" s="201"/>
      <c r="K8" s="201"/>
    </row>
    <row r="9" spans="2:11" s="202" customFormat="1" x14ac:dyDescent="0.35">
      <c r="B9" s="212" t="s">
        <v>10</v>
      </c>
      <c r="C9" s="213" t="s">
        <v>166</v>
      </c>
      <c r="D9" s="277"/>
      <c r="E9" s="382"/>
      <c r="F9" s="203"/>
      <c r="H9" s="201"/>
      <c r="I9" s="201"/>
      <c r="J9" s="201"/>
      <c r="K9" s="201"/>
    </row>
    <row r="10" spans="2:11" s="202" customFormat="1" x14ac:dyDescent="0.35">
      <c r="B10" s="212" t="s">
        <v>11</v>
      </c>
      <c r="C10" s="213" t="s">
        <v>167</v>
      </c>
      <c r="D10" s="277"/>
      <c r="E10" s="382"/>
      <c r="F10" s="203"/>
      <c r="H10" s="201"/>
      <c r="I10" s="201"/>
      <c r="J10" s="201"/>
      <c r="K10" s="201"/>
    </row>
    <row r="11" spans="2:11" s="202" customFormat="1" x14ac:dyDescent="0.35">
      <c r="B11" s="212" t="s">
        <v>12</v>
      </c>
      <c r="C11" s="213" t="s">
        <v>168</v>
      </c>
      <c r="D11" s="277"/>
      <c r="E11" s="382"/>
      <c r="F11" s="203"/>
      <c r="H11" s="201"/>
      <c r="I11" s="201"/>
      <c r="J11" s="201"/>
      <c r="K11" s="201"/>
    </row>
    <row r="12" spans="2:11" s="202" customFormat="1" x14ac:dyDescent="0.35">
      <c r="B12" s="212" t="s">
        <v>13</v>
      </c>
      <c r="C12" s="213" t="s">
        <v>169</v>
      </c>
      <c r="D12" s="277"/>
      <c r="E12" s="382"/>
      <c r="F12" s="203"/>
      <c r="H12" s="201"/>
      <c r="I12" s="201"/>
      <c r="J12" s="201"/>
      <c r="K12" s="201"/>
    </row>
    <row r="13" spans="2:11" s="202" customFormat="1" ht="28.5" customHeight="1" x14ac:dyDescent="0.35">
      <c r="B13" s="215"/>
      <c r="C13" s="216" t="s">
        <v>170</v>
      </c>
      <c r="D13" s="206"/>
      <c r="E13" s="416">
        <f>SUM(E5:E12)</f>
        <v>0</v>
      </c>
      <c r="F13" s="203"/>
      <c r="H13" s="201"/>
      <c r="I13" s="201"/>
      <c r="J13" s="201"/>
      <c r="K13" s="201"/>
    </row>
    <row r="14" spans="2:11" s="202" customFormat="1" ht="30" customHeight="1" x14ac:dyDescent="0.35">
      <c r="B14" s="208"/>
      <c r="C14" s="209" t="s">
        <v>171</v>
      </c>
      <c r="D14" s="210"/>
      <c r="E14" s="350"/>
      <c r="F14" s="203"/>
      <c r="H14" s="201"/>
      <c r="I14" s="201"/>
      <c r="J14" s="201"/>
      <c r="K14" s="201"/>
    </row>
    <row r="15" spans="2:11" s="202" customFormat="1" x14ac:dyDescent="0.35">
      <c r="B15" s="217" t="s">
        <v>6</v>
      </c>
      <c r="C15" s="218" t="s">
        <v>172</v>
      </c>
      <c r="D15" s="276"/>
      <c r="E15" s="383">
        <v>0</v>
      </c>
      <c r="F15" s="203"/>
      <c r="H15" s="201"/>
      <c r="I15" s="201"/>
      <c r="J15" s="201"/>
      <c r="K15" s="201"/>
    </row>
    <row r="16" spans="2:11" s="201" customFormat="1" x14ac:dyDescent="0.35">
      <c r="B16" s="217" t="s">
        <v>7</v>
      </c>
      <c r="C16" s="218" t="s">
        <v>173</v>
      </c>
      <c r="D16" s="276"/>
      <c r="E16" s="413">
        <f>-1*6/100*E5</f>
        <v>0</v>
      </c>
      <c r="F16" s="203"/>
      <c r="G16" s="202"/>
    </row>
    <row r="17" spans="2:11" s="201" customFormat="1" x14ac:dyDescent="0.35">
      <c r="B17" s="217" t="s">
        <v>8</v>
      </c>
      <c r="C17" s="218" t="s">
        <v>174</v>
      </c>
      <c r="D17" s="276"/>
      <c r="E17" s="383">
        <v>0</v>
      </c>
      <c r="F17" s="203"/>
      <c r="G17" s="220"/>
      <c r="H17" s="221"/>
      <c r="I17" s="222"/>
    </row>
    <row r="18" spans="2:11" s="201" customFormat="1" ht="31.5" customHeight="1" x14ac:dyDescent="0.35">
      <c r="B18" s="217" t="s">
        <v>9</v>
      </c>
      <c r="C18" s="218" t="s">
        <v>262</v>
      </c>
      <c r="D18" s="276"/>
      <c r="E18" s="383">
        <v>0</v>
      </c>
      <c r="F18" s="203"/>
      <c r="G18" s="202"/>
    </row>
    <row r="19" spans="2:11" s="201" customFormat="1" x14ac:dyDescent="0.35">
      <c r="B19" s="217" t="s">
        <v>10</v>
      </c>
      <c r="C19" s="218" t="s">
        <v>263</v>
      </c>
      <c r="D19" s="276"/>
      <c r="E19" s="383">
        <v>0</v>
      </c>
      <c r="F19" s="203"/>
      <c r="G19" s="202"/>
    </row>
    <row r="20" spans="2:11" s="201" customFormat="1" x14ac:dyDescent="0.35">
      <c r="B20" s="217" t="s">
        <v>11</v>
      </c>
      <c r="C20" s="218" t="s">
        <v>264</v>
      </c>
      <c r="D20" s="276"/>
      <c r="E20" s="383">
        <v>0</v>
      </c>
      <c r="F20" s="203"/>
      <c r="G20" s="202"/>
    </row>
    <row r="21" spans="2:11" s="201" customFormat="1" ht="32.25" customHeight="1" x14ac:dyDescent="0.35">
      <c r="B21" s="217" t="s">
        <v>12</v>
      </c>
      <c r="C21" s="218" t="s">
        <v>337</v>
      </c>
      <c r="D21" s="276"/>
      <c r="E21" s="383">
        <v>0</v>
      </c>
      <c r="F21" s="203"/>
      <c r="G21" s="202"/>
    </row>
    <row r="22" spans="2:11" s="201" customFormat="1" ht="36.75" customHeight="1" x14ac:dyDescent="0.35">
      <c r="B22" s="223"/>
      <c r="C22" s="216" t="s">
        <v>175</v>
      </c>
      <c r="D22" s="224"/>
      <c r="E22" s="416">
        <f>SUM(E15:E21)</f>
        <v>0</v>
      </c>
      <c r="F22" s="203"/>
      <c r="G22" s="202"/>
    </row>
    <row r="23" spans="2:11" s="201" customFormat="1" ht="30" customHeight="1" x14ac:dyDescent="0.35">
      <c r="B23" s="208"/>
      <c r="C23" s="225" t="s">
        <v>176</v>
      </c>
      <c r="D23" s="226"/>
      <c r="E23" s="351"/>
      <c r="F23" s="203"/>
      <c r="G23" s="202"/>
    </row>
    <row r="24" spans="2:11" s="201" customFormat="1" x14ac:dyDescent="0.35">
      <c r="B24" s="217" t="s">
        <v>6</v>
      </c>
      <c r="C24" s="218" t="s">
        <v>177</v>
      </c>
      <c r="D24" s="276"/>
      <c r="E24" s="383">
        <v>0</v>
      </c>
      <c r="F24" s="203"/>
      <c r="G24" s="202"/>
    </row>
    <row r="25" spans="2:11" s="201" customFormat="1" x14ac:dyDescent="0.35">
      <c r="B25" s="217" t="s">
        <v>7</v>
      </c>
      <c r="C25" s="218" t="s">
        <v>178</v>
      </c>
      <c r="D25" s="276"/>
      <c r="E25" s="383"/>
      <c r="F25" s="203"/>
      <c r="G25" s="202"/>
    </row>
    <row r="26" spans="2:11" s="201" customFormat="1" x14ac:dyDescent="0.35">
      <c r="B26" s="217" t="s">
        <v>8</v>
      </c>
      <c r="C26" s="218" t="s">
        <v>179</v>
      </c>
      <c r="D26" s="276"/>
      <c r="E26" s="383"/>
      <c r="F26" s="203"/>
      <c r="G26" s="202"/>
    </row>
    <row r="27" spans="2:11" s="201" customFormat="1" x14ac:dyDescent="0.35">
      <c r="B27" s="217" t="s">
        <v>9</v>
      </c>
      <c r="C27" s="218" t="s">
        <v>169</v>
      </c>
      <c r="D27" s="276"/>
      <c r="E27" s="383"/>
      <c r="F27" s="203"/>
      <c r="G27" s="202"/>
    </row>
    <row r="28" spans="2:11" s="201" customFormat="1" ht="31.5" customHeight="1" x14ac:dyDescent="0.35">
      <c r="B28" s="223"/>
      <c r="C28" s="216" t="s">
        <v>180</v>
      </c>
      <c r="D28" s="224"/>
      <c r="E28" s="416">
        <f>SUM(E24:E27)</f>
        <v>0</v>
      </c>
      <c r="F28" s="203"/>
      <c r="G28" s="202"/>
    </row>
    <row r="29" spans="2:11" s="201" customFormat="1" ht="28.5" customHeight="1" x14ac:dyDescent="0.35">
      <c r="B29" s="208"/>
      <c r="C29" s="225" t="s">
        <v>181</v>
      </c>
      <c r="D29" s="226"/>
      <c r="E29" s="351"/>
      <c r="F29" s="203"/>
      <c r="G29" s="202"/>
    </row>
    <row r="30" spans="2:11" s="201" customFormat="1" ht="30.75" customHeight="1" x14ac:dyDescent="0.35">
      <c r="B30" s="229"/>
      <c r="C30" s="216" t="s">
        <v>182</v>
      </c>
      <c r="D30" s="230"/>
      <c r="E30" s="352"/>
      <c r="F30" s="203"/>
      <c r="G30" s="202"/>
    </row>
    <row r="31" spans="2:11" s="201" customFormat="1" x14ac:dyDescent="0.35">
      <c r="B31" s="217" t="s">
        <v>6</v>
      </c>
      <c r="C31" s="406" t="s">
        <v>183</v>
      </c>
      <c r="D31" s="392">
        <v>0.2</v>
      </c>
      <c r="E31" s="413">
        <f>ROUND($D31*E$13,2)</f>
        <v>0</v>
      </c>
      <c r="F31" s="203"/>
      <c r="G31" s="227"/>
      <c r="H31" s="228"/>
      <c r="I31" s="228"/>
      <c r="J31" s="228"/>
      <c r="K31" s="228"/>
    </row>
    <row r="32" spans="2:11" s="201" customFormat="1" x14ac:dyDescent="0.25">
      <c r="B32" s="217" t="s">
        <v>7</v>
      </c>
      <c r="C32" s="407" t="s">
        <v>184</v>
      </c>
      <c r="D32" s="392">
        <v>1.4999999999999999E-2</v>
      </c>
      <c r="E32" s="413">
        <f t="shared" ref="E32:E38" si="0">ROUND($D32*E$13,2)</f>
        <v>0</v>
      </c>
      <c r="F32" s="203"/>
      <c r="G32" s="231"/>
      <c r="H32" s="228"/>
      <c r="I32" s="228"/>
      <c r="J32" s="228"/>
      <c r="K32" s="228"/>
    </row>
    <row r="33" spans="2:11" s="201" customFormat="1" x14ac:dyDescent="0.35">
      <c r="B33" s="217" t="s">
        <v>8</v>
      </c>
      <c r="C33" s="406" t="s">
        <v>185</v>
      </c>
      <c r="D33" s="392">
        <v>0.01</v>
      </c>
      <c r="E33" s="413">
        <f t="shared" si="0"/>
        <v>0</v>
      </c>
      <c r="F33" s="203"/>
      <c r="G33" s="227"/>
      <c r="H33" s="545"/>
      <c r="I33" s="545"/>
      <c r="J33" s="545"/>
      <c r="K33" s="545"/>
    </row>
    <row r="34" spans="2:11" s="201" customFormat="1" x14ac:dyDescent="0.35">
      <c r="B34" s="217" t="s">
        <v>9</v>
      </c>
      <c r="C34" s="406" t="s">
        <v>186</v>
      </c>
      <c r="D34" s="392">
        <v>2E-3</v>
      </c>
      <c r="E34" s="413">
        <f t="shared" si="0"/>
        <v>0</v>
      </c>
      <c r="F34" s="203"/>
      <c r="G34" s="227"/>
      <c r="H34" s="232"/>
      <c r="I34" s="232"/>
      <c r="J34" s="232"/>
      <c r="K34" s="232"/>
    </row>
    <row r="35" spans="2:11" s="201" customFormat="1" x14ac:dyDescent="0.35">
      <c r="B35" s="217" t="s">
        <v>10</v>
      </c>
      <c r="C35" s="406" t="s">
        <v>187</v>
      </c>
      <c r="D35" s="392">
        <v>2.5000000000000001E-2</v>
      </c>
      <c r="E35" s="413">
        <f t="shared" si="0"/>
        <v>0</v>
      </c>
      <c r="F35" s="203"/>
      <c r="G35" s="227"/>
      <c r="H35" s="233"/>
      <c r="I35" s="234"/>
      <c r="J35" s="235"/>
      <c r="K35" s="235"/>
    </row>
    <row r="36" spans="2:11" s="201" customFormat="1" ht="31.5" customHeight="1" x14ac:dyDescent="0.35">
      <c r="B36" s="217" t="s">
        <v>11</v>
      </c>
      <c r="C36" s="408" t="s">
        <v>188</v>
      </c>
      <c r="D36" s="392">
        <v>0.08</v>
      </c>
      <c r="E36" s="413">
        <f t="shared" si="0"/>
        <v>0</v>
      </c>
      <c r="F36" s="203"/>
      <c r="G36" s="227"/>
      <c r="H36" s="228"/>
      <c r="I36" s="228"/>
      <c r="J36" s="228"/>
      <c r="K36" s="228"/>
    </row>
    <row r="37" spans="2:11" s="201" customFormat="1" x14ac:dyDescent="0.25">
      <c r="B37" s="217" t="s">
        <v>12</v>
      </c>
      <c r="C37" s="409" t="s">
        <v>189</v>
      </c>
      <c r="D37" s="393">
        <v>0.03</v>
      </c>
      <c r="E37" s="413">
        <f t="shared" si="0"/>
        <v>0</v>
      </c>
      <c r="F37" s="203"/>
      <c r="G37" s="231"/>
      <c r="H37" s="228"/>
      <c r="I37" s="228"/>
      <c r="J37" s="228"/>
      <c r="K37" s="228"/>
    </row>
    <row r="38" spans="2:11" s="201" customFormat="1" x14ac:dyDescent="0.35">
      <c r="B38" s="217" t="s">
        <v>13</v>
      </c>
      <c r="C38" s="406" t="s">
        <v>190</v>
      </c>
      <c r="D38" s="392">
        <v>6.0000000000000001E-3</v>
      </c>
      <c r="E38" s="413">
        <f t="shared" si="0"/>
        <v>0</v>
      </c>
      <c r="F38" s="203"/>
      <c r="G38" s="227"/>
      <c r="H38" s="228"/>
      <c r="I38" s="228"/>
      <c r="J38" s="228"/>
      <c r="K38" s="228"/>
    </row>
    <row r="39" spans="2:11" s="201" customFormat="1" ht="31.5" customHeight="1" x14ac:dyDescent="0.35">
      <c r="B39" s="215"/>
      <c r="C39" s="236" t="s">
        <v>191</v>
      </c>
      <c r="D39" s="387">
        <f>SUM(D31:D38)</f>
        <v>0.3680000000000001</v>
      </c>
      <c r="E39" s="416">
        <f>SUM(E31:E38)</f>
        <v>0</v>
      </c>
      <c r="F39" s="203"/>
      <c r="G39" s="239"/>
    </row>
    <row r="40" spans="2:11" s="201" customFormat="1" ht="29.25" customHeight="1" x14ac:dyDescent="0.35">
      <c r="B40" s="229"/>
      <c r="C40" s="216" t="s">
        <v>192</v>
      </c>
      <c r="D40" s="384"/>
      <c r="E40" s="417"/>
      <c r="F40" s="203"/>
      <c r="G40" s="202"/>
    </row>
    <row r="41" spans="2:11" s="201" customFormat="1" ht="29.25" customHeight="1" x14ac:dyDescent="0.35">
      <c r="B41" s="217" t="s">
        <v>6</v>
      </c>
      <c r="C41" s="238" t="s">
        <v>193</v>
      </c>
      <c r="D41" s="395">
        <f>1/12</f>
        <v>8.3333333333333329E-2</v>
      </c>
      <c r="E41" s="413">
        <f>ROUND($D41*E$13,2)</f>
        <v>0</v>
      </c>
      <c r="F41" s="203"/>
      <c r="G41" s="202"/>
    </row>
    <row r="42" spans="2:11" s="201" customFormat="1" ht="30.75" customHeight="1" x14ac:dyDescent="0.35">
      <c r="B42" s="217" t="s">
        <v>7</v>
      </c>
      <c r="C42" s="238" t="s">
        <v>194</v>
      </c>
      <c r="D42" s="395">
        <f>1/12*1/3</f>
        <v>2.7777777777777776E-2</v>
      </c>
      <c r="E42" s="413">
        <f t="shared" ref="E42:E43" si="1">ROUND($D42*E$13,2)</f>
        <v>0</v>
      </c>
      <c r="F42" s="203"/>
      <c r="G42" s="202"/>
    </row>
    <row r="43" spans="2:11" s="201" customFormat="1" ht="30.75" customHeight="1" x14ac:dyDescent="0.35">
      <c r="B43" s="217" t="s">
        <v>8</v>
      </c>
      <c r="C43" s="218" t="s">
        <v>195</v>
      </c>
      <c r="D43" s="395">
        <f>D39*(D41+D42)</f>
        <v>4.0888888888888898E-2</v>
      </c>
      <c r="E43" s="413">
        <f t="shared" si="1"/>
        <v>0</v>
      </c>
      <c r="F43" s="203"/>
      <c r="G43" s="202"/>
    </row>
    <row r="44" spans="2:11" s="201" customFormat="1" ht="36.75" customHeight="1" x14ac:dyDescent="0.35">
      <c r="B44" s="229"/>
      <c r="C44" s="216" t="s">
        <v>196</v>
      </c>
      <c r="D44" s="387">
        <f>SUM(D41:D43)</f>
        <v>0.152</v>
      </c>
      <c r="E44" s="416">
        <f>SUM(E41:E43)</f>
        <v>0</v>
      </c>
      <c r="F44" s="203"/>
      <c r="G44" s="239"/>
    </row>
    <row r="45" spans="2:11" s="201" customFormat="1" ht="28.5" customHeight="1" x14ac:dyDescent="0.35">
      <c r="B45" s="229"/>
      <c r="C45" s="216" t="s">
        <v>197</v>
      </c>
      <c r="D45" s="384"/>
      <c r="E45" s="417"/>
      <c r="F45" s="203"/>
      <c r="G45" s="202"/>
    </row>
    <row r="46" spans="2:11" s="201" customFormat="1" ht="30.75" customHeight="1" x14ac:dyDescent="0.25">
      <c r="B46" s="217" t="s">
        <v>6</v>
      </c>
      <c r="C46" s="218" t="s">
        <v>198</v>
      </c>
      <c r="D46" s="396">
        <f>((1+1/3)/12)*2/100*4/12</f>
        <v>7.407407407407407E-4</v>
      </c>
      <c r="E46" s="418">
        <f>ROUND($D46*E$13,2)</f>
        <v>0</v>
      </c>
      <c r="F46" s="203"/>
      <c r="G46" s="546"/>
    </row>
    <row r="47" spans="2:11" s="201" customFormat="1" ht="31.15" customHeight="1" x14ac:dyDescent="0.25">
      <c r="B47" s="217" t="s">
        <v>7</v>
      </c>
      <c r="C47" s="218" t="s">
        <v>199</v>
      </c>
      <c r="D47" s="396">
        <f>D39*D46</f>
        <v>2.7259259259259267E-4</v>
      </c>
      <c r="E47" s="418">
        <f t="shared" ref="E47:E48" si="2">ROUND($D47*E$13,2)</f>
        <v>0</v>
      </c>
      <c r="F47" s="203"/>
      <c r="G47" s="546"/>
    </row>
    <row r="48" spans="2:11" s="201" customFormat="1" ht="31.9" customHeight="1" x14ac:dyDescent="0.25">
      <c r="B48" s="217" t="s">
        <v>8</v>
      </c>
      <c r="C48" s="218" t="s">
        <v>200</v>
      </c>
      <c r="D48" s="396">
        <f>D39*(2/100*4/12)</f>
        <v>2.4533333333333343E-3</v>
      </c>
      <c r="E48" s="418">
        <f t="shared" si="2"/>
        <v>0</v>
      </c>
      <c r="F48" s="203"/>
      <c r="G48" s="241"/>
    </row>
    <row r="49" spans="2:9" s="201" customFormat="1" ht="27.75" customHeight="1" x14ac:dyDescent="0.35">
      <c r="B49" s="229"/>
      <c r="C49" s="216" t="s">
        <v>201</v>
      </c>
      <c r="D49" s="387">
        <f>SUM(D46:D48)</f>
        <v>3.4666666666666674E-3</v>
      </c>
      <c r="E49" s="416">
        <f>SUM(E46:E48)</f>
        <v>0</v>
      </c>
      <c r="F49" s="203"/>
      <c r="G49" s="239"/>
    </row>
    <row r="50" spans="2:9" s="201" customFormat="1" ht="30" customHeight="1" x14ac:dyDescent="0.35">
      <c r="B50" s="229"/>
      <c r="C50" s="216" t="s">
        <v>202</v>
      </c>
      <c r="D50" s="384"/>
      <c r="E50" s="417"/>
      <c r="F50" s="203"/>
      <c r="G50" s="202"/>
    </row>
    <row r="51" spans="2:9" s="201" customFormat="1" ht="33" customHeight="1" x14ac:dyDescent="0.35">
      <c r="B51" s="217" t="s">
        <v>6</v>
      </c>
      <c r="C51" s="242" t="s">
        <v>203</v>
      </c>
      <c r="D51" s="395">
        <f>((1/12)*3.5/100)+(((1/12)*3.5/100)*(1/12+((1+1/3)/12)))</f>
        <v>3.4837962962962956E-3</v>
      </c>
      <c r="E51" s="413">
        <f>ROUND($D51*E$13,2)</f>
        <v>0</v>
      </c>
      <c r="F51" s="203"/>
      <c r="G51" s="202"/>
    </row>
    <row r="52" spans="2:9" s="201" customFormat="1" ht="34.5" customHeight="1" x14ac:dyDescent="0.35">
      <c r="B52" s="217" t="s">
        <v>7</v>
      </c>
      <c r="C52" s="218" t="s">
        <v>204</v>
      </c>
      <c r="D52" s="397">
        <f>D39*(1/12*(3.5/100))*1/12</f>
        <v>8.944444444444447E-5</v>
      </c>
      <c r="E52" s="413">
        <f t="shared" ref="E52:E55" si="3">ROUND($D52*E$13,2)</f>
        <v>0</v>
      </c>
      <c r="F52" s="203"/>
      <c r="G52" s="202"/>
    </row>
    <row r="53" spans="2:9" s="201" customFormat="1" ht="30.75" customHeight="1" x14ac:dyDescent="0.35">
      <c r="B53" s="217" t="s">
        <v>8</v>
      </c>
      <c r="C53" s="218" t="s">
        <v>205</v>
      </c>
      <c r="D53" s="397">
        <f>8/100*50/100*D51</f>
        <v>1.3935185185185182E-4</v>
      </c>
      <c r="E53" s="413">
        <f t="shared" si="3"/>
        <v>0</v>
      </c>
      <c r="F53" s="203"/>
      <c r="G53" s="202"/>
    </row>
    <row r="54" spans="2:9" s="201" customFormat="1" ht="29.25" customHeight="1" x14ac:dyDescent="0.35">
      <c r="B54" s="217" t="s">
        <v>9</v>
      </c>
      <c r="C54" s="218" t="s">
        <v>206</v>
      </c>
      <c r="D54" s="395">
        <f>8/100*50/100</f>
        <v>0.04</v>
      </c>
      <c r="E54" s="413">
        <f t="shared" si="3"/>
        <v>0</v>
      </c>
      <c r="F54" s="203"/>
      <c r="G54" s="202"/>
    </row>
    <row r="55" spans="2:9" s="201" customFormat="1" ht="27" customHeight="1" x14ac:dyDescent="0.35">
      <c r="B55" s="217" t="s">
        <v>10</v>
      </c>
      <c r="C55" s="218" t="s">
        <v>207</v>
      </c>
      <c r="D55" s="395">
        <f>1/12*1/100</f>
        <v>8.3333333333333328E-4</v>
      </c>
      <c r="E55" s="413">
        <f t="shared" si="3"/>
        <v>0</v>
      </c>
      <c r="F55" s="203"/>
      <c r="G55" s="202"/>
    </row>
    <row r="56" spans="2:9" s="201" customFormat="1" ht="28.5" customHeight="1" x14ac:dyDescent="0.35">
      <c r="B56" s="229"/>
      <c r="C56" s="216" t="s">
        <v>208</v>
      </c>
      <c r="D56" s="387">
        <f>SUM(D51:D55)</f>
        <v>4.4545925925925926E-2</v>
      </c>
      <c r="E56" s="416">
        <f>SUM(E51:E55)</f>
        <v>0</v>
      </c>
      <c r="F56" s="203"/>
      <c r="G56" s="239"/>
      <c r="I56" s="243"/>
    </row>
    <row r="57" spans="2:9" s="201" customFormat="1" ht="25.5" customHeight="1" x14ac:dyDescent="0.35">
      <c r="B57" s="229"/>
      <c r="C57" s="244" t="s">
        <v>209</v>
      </c>
      <c r="D57" s="384"/>
      <c r="E57" s="417"/>
      <c r="F57" s="203"/>
      <c r="G57" s="202"/>
    </row>
    <row r="58" spans="2:9" s="201" customFormat="1" x14ac:dyDescent="0.35">
      <c r="B58" s="217" t="s">
        <v>6</v>
      </c>
      <c r="C58" s="245" t="s">
        <v>210</v>
      </c>
      <c r="D58" s="395">
        <f>1/12</f>
        <v>8.3333333333333329E-2</v>
      </c>
      <c r="E58" s="413">
        <f>ROUND($D58*E$13,2)</f>
        <v>0</v>
      </c>
      <c r="F58" s="203"/>
      <c r="G58" s="246"/>
    </row>
    <row r="59" spans="2:9" s="201" customFormat="1" x14ac:dyDescent="0.35">
      <c r="B59" s="217" t="s">
        <v>7</v>
      </c>
      <c r="C59" s="247" t="s">
        <v>211</v>
      </c>
      <c r="D59" s="395">
        <f>(4.14*1/12*1/30)</f>
        <v>1.15E-2</v>
      </c>
      <c r="E59" s="413">
        <f t="shared" ref="E59:E65" si="4">ROUND($D59*E$13,2)</f>
        <v>0</v>
      </c>
      <c r="F59" s="203"/>
      <c r="G59" s="202"/>
    </row>
    <row r="60" spans="2:9" s="201" customFormat="1" x14ac:dyDescent="0.35">
      <c r="B60" s="217" t="s">
        <v>8</v>
      </c>
      <c r="C60" s="247" t="s">
        <v>212</v>
      </c>
      <c r="D60" s="395">
        <f>5*1/12*1/30*1.5/100</f>
        <v>2.0833333333333335E-4</v>
      </c>
      <c r="E60" s="413">
        <f t="shared" si="4"/>
        <v>0</v>
      </c>
      <c r="F60" s="203"/>
      <c r="G60" s="202"/>
    </row>
    <row r="61" spans="2:9" s="201" customFormat="1" x14ac:dyDescent="0.35">
      <c r="B61" s="217" t="s">
        <v>9</v>
      </c>
      <c r="C61" s="247" t="s">
        <v>213</v>
      </c>
      <c r="D61" s="395">
        <f>1*1/12*1/30</f>
        <v>2.7777777777777775E-3</v>
      </c>
      <c r="E61" s="413">
        <f t="shared" si="4"/>
        <v>0</v>
      </c>
      <c r="F61" s="203"/>
      <c r="G61" s="202"/>
    </row>
    <row r="62" spans="2:9" s="201" customFormat="1" x14ac:dyDescent="0.25">
      <c r="B62" s="217" t="s">
        <v>10</v>
      </c>
      <c r="C62" s="247" t="s">
        <v>214</v>
      </c>
      <c r="D62" s="396">
        <f>15*1/12*1/30*8/100</f>
        <v>3.3333333333333331E-3</v>
      </c>
      <c r="E62" s="413">
        <f t="shared" si="4"/>
        <v>0</v>
      </c>
      <c r="F62" s="203"/>
      <c r="G62" s="248"/>
    </row>
    <row r="63" spans="2:9" s="201" customFormat="1" x14ac:dyDescent="0.35">
      <c r="B63" s="217" t="s">
        <v>11</v>
      </c>
      <c r="C63" s="245" t="s">
        <v>215</v>
      </c>
      <c r="D63" s="395">
        <f>7*1/12*1/30*5/100</f>
        <v>9.7222222222222219E-4</v>
      </c>
      <c r="E63" s="413">
        <f t="shared" si="4"/>
        <v>0</v>
      </c>
      <c r="F63" s="203"/>
      <c r="G63" s="202"/>
    </row>
    <row r="64" spans="2:9" s="201" customFormat="1" x14ac:dyDescent="0.35">
      <c r="B64" s="217" t="s">
        <v>12</v>
      </c>
      <c r="C64" s="247" t="s">
        <v>216</v>
      </c>
      <c r="D64" s="395">
        <f>D39*(SUM(D58:D63))</f>
        <v>3.7582000000000011E-2</v>
      </c>
      <c r="E64" s="413">
        <f t="shared" si="4"/>
        <v>0</v>
      </c>
      <c r="F64" s="203"/>
      <c r="G64" s="202"/>
    </row>
    <row r="65" spans="2:9" s="201" customFormat="1" ht="31.5" customHeight="1" x14ac:dyDescent="0.35">
      <c r="B65" s="217" t="s">
        <v>13</v>
      </c>
      <c r="C65" s="247" t="s">
        <v>217</v>
      </c>
      <c r="D65" s="395">
        <f>(D44+D49+D56)*SUM(D58:D63)</f>
        <v>2.0426286018518518E-2</v>
      </c>
      <c r="E65" s="413">
        <f t="shared" si="4"/>
        <v>0</v>
      </c>
      <c r="F65" s="203"/>
      <c r="G65" s="202"/>
    </row>
    <row r="66" spans="2:9" s="201" customFormat="1" x14ac:dyDescent="0.35">
      <c r="B66" s="526" t="s">
        <v>218</v>
      </c>
      <c r="C66" s="527"/>
      <c r="D66" s="398">
        <f>SUM(D58:D65)</f>
        <v>0.16013328601851851</v>
      </c>
      <c r="E66" s="414">
        <f>SUM(E58:E65)</f>
        <v>0</v>
      </c>
      <c r="F66" s="203"/>
      <c r="G66" s="239"/>
    </row>
    <row r="67" spans="2:9" s="201" customFormat="1" x14ac:dyDescent="0.35">
      <c r="B67" s="541" t="s">
        <v>219</v>
      </c>
      <c r="C67" s="527"/>
      <c r="D67" s="387">
        <f>D39+D44+D49+D56+D66</f>
        <v>0.72814587861111113</v>
      </c>
      <c r="E67" s="416">
        <f>E39+E44+E49+E56+E66</f>
        <v>0</v>
      </c>
      <c r="F67" s="203"/>
      <c r="G67" s="239"/>
    </row>
    <row r="68" spans="2:9" s="201" customFormat="1" ht="26.25" thickBot="1" x14ac:dyDescent="0.3">
      <c r="B68" s="547" t="s">
        <v>220</v>
      </c>
      <c r="C68" s="548"/>
      <c r="D68" s="399"/>
      <c r="E68" s="419">
        <f>E13+E22+E28+E67</f>
        <v>0</v>
      </c>
      <c r="F68" s="203"/>
      <c r="G68" s="250">
        <f>E68</f>
        <v>0</v>
      </c>
    </row>
    <row r="69" spans="2:9" s="201" customFormat="1" ht="26.25" x14ac:dyDescent="0.25">
      <c r="B69" s="251" t="s">
        <v>40</v>
      </c>
      <c r="C69" s="514"/>
      <c r="D69" s="515"/>
      <c r="E69" s="515"/>
      <c r="F69" s="203"/>
      <c r="G69" s="252"/>
    </row>
    <row r="70" spans="2:9" s="201" customFormat="1" ht="33" customHeight="1" x14ac:dyDescent="0.25">
      <c r="B70" s="253" t="s">
        <v>265</v>
      </c>
      <c r="C70" s="516" t="s">
        <v>338</v>
      </c>
      <c r="D70" s="517"/>
      <c r="E70" s="518"/>
      <c r="F70" s="203"/>
      <c r="G70" s="252"/>
    </row>
    <row r="71" spans="2:9" s="201" customFormat="1" ht="53.25" customHeight="1" x14ac:dyDescent="0.25">
      <c r="B71" s="254" t="s">
        <v>266</v>
      </c>
      <c r="C71" s="519" t="s">
        <v>267</v>
      </c>
      <c r="D71" s="519"/>
      <c r="E71" s="519"/>
      <c r="F71" s="203"/>
      <c r="G71" s="252"/>
    </row>
    <row r="72" spans="2:9" s="201" customFormat="1" x14ac:dyDescent="0.25">
      <c r="B72" s="255"/>
      <c r="C72" s="256"/>
      <c r="D72" s="257"/>
      <c r="E72" s="258"/>
      <c r="F72" s="203"/>
      <c r="G72" s="252"/>
    </row>
    <row r="73" spans="2:9" s="201" customFormat="1" x14ac:dyDescent="0.25">
      <c r="B73" s="255"/>
      <c r="C73" s="256"/>
      <c r="D73" s="257"/>
      <c r="E73" s="258"/>
      <c r="F73" s="203"/>
      <c r="G73" s="252"/>
    </row>
    <row r="74" spans="2:9" s="201" customFormat="1" ht="29.25" customHeight="1" x14ac:dyDescent="0.35">
      <c r="B74" s="559" t="s">
        <v>221</v>
      </c>
      <c r="C74" s="560"/>
      <c r="D74" s="560"/>
      <c r="E74" s="561"/>
      <c r="F74" s="203"/>
      <c r="G74" s="259"/>
    </row>
    <row r="75" spans="2:9" s="201" customFormat="1" ht="29.25" customHeight="1" x14ac:dyDescent="0.35">
      <c r="B75" s="217" t="s">
        <v>6</v>
      </c>
      <c r="C75" s="218" t="s">
        <v>222</v>
      </c>
      <c r="D75" s="278">
        <v>0</v>
      </c>
      <c r="E75" s="413">
        <f>D75*E68</f>
        <v>0</v>
      </c>
      <c r="F75" s="203"/>
      <c r="G75" s="259"/>
    </row>
    <row r="76" spans="2:9" s="201" customFormat="1" x14ac:dyDescent="0.35">
      <c r="B76" s="217" t="s">
        <v>7</v>
      </c>
      <c r="C76" s="218" t="s">
        <v>223</v>
      </c>
      <c r="D76" s="276">
        <v>0</v>
      </c>
      <c r="E76" s="413">
        <f>D76*(E68+E75)</f>
        <v>0</v>
      </c>
      <c r="F76" s="203"/>
      <c r="G76" s="259"/>
    </row>
    <row r="77" spans="2:9" s="201" customFormat="1" x14ac:dyDescent="0.35">
      <c r="B77" s="526" t="s">
        <v>224</v>
      </c>
      <c r="C77" s="527"/>
      <c r="D77" s="224"/>
      <c r="E77" s="414">
        <f>E75+E76</f>
        <v>0</v>
      </c>
      <c r="F77" s="203"/>
      <c r="G77" s="260">
        <f>E77</f>
        <v>0</v>
      </c>
    </row>
    <row r="78" spans="2:9" s="201" customFormat="1" x14ac:dyDescent="0.35">
      <c r="B78" s="528" t="s">
        <v>225</v>
      </c>
      <c r="C78" s="529"/>
      <c r="D78" s="261"/>
      <c r="E78" s="415"/>
      <c r="F78" s="203"/>
      <c r="G78" s="259"/>
    </row>
    <row r="79" spans="2:9" s="201" customFormat="1" x14ac:dyDescent="0.35">
      <c r="B79" s="262" t="s">
        <v>8</v>
      </c>
      <c r="C79" s="263" t="s">
        <v>226</v>
      </c>
      <c r="D79" s="240" t="s">
        <v>227</v>
      </c>
      <c r="E79" s="348"/>
      <c r="F79" s="203"/>
      <c r="G79" s="259"/>
    </row>
    <row r="80" spans="2:9" s="201" customFormat="1" x14ac:dyDescent="0.25">
      <c r="B80" s="217"/>
      <c r="C80" s="409" t="s">
        <v>228</v>
      </c>
      <c r="D80" s="276">
        <v>0</v>
      </c>
      <c r="E80" s="413">
        <f>$D80*E$92</f>
        <v>0</v>
      </c>
      <c r="F80" s="203"/>
      <c r="G80" s="250">
        <f>D80*E92</f>
        <v>0</v>
      </c>
      <c r="H80" s="537" t="s">
        <v>229</v>
      </c>
      <c r="I80" s="538"/>
    </row>
    <row r="81" spans="2:9" s="201" customFormat="1" x14ac:dyDescent="0.25">
      <c r="B81" s="217"/>
      <c r="C81" s="409" t="s">
        <v>2</v>
      </c>
      <c r="D81" s="278">
        <v>0</v>
      </c>
      <c r="E81" s="413">
        <f>$D81*E$92</f>
        <v>0</v>
      </c>
      <c r="F81" s="203"/>
      <c r="G81" s="250">
        <f>D81*E92</f>
        <v>0</v>
      </c>
    </row>
    <row r="82" spans="2:9" s="201" customFormat="1" x14ac:dyDescent="0.25">
      <c r="B82" s="217"/>
      <c r="C82" s="409" t="s">
        <v>3</v>
      </c>
      <c r="D82" s="278">
        <v>0</v>
      </c>
      <c r="E82" s="413">
        <f>$D82*E$92</f>
        <v>0</v>
      </c>
      <c r="F82" s="203"/>
      <c r="G82" s="250">
        <f>D82*E92</f>
        <v>0</v>
      </c>
    </row>
    <row r="83" spans="2:9" s="201" customFormat="1" x14ac:dyDescent="0.35">
      <c r="B83" s="539" t="s">
        <v>230</v>
      </c>
      <c r="C83" s="540"/>
      <c r="D83" s="387">
        <f>SUM(D80:D82)</f>
        <v>0</v>
      </c>
      <c r="E83" s="414">
        <f>D83*E92</f>
        <v>0</v>
      </c>
      <c r="F83" s="203"/>
      <c r="G83" s="259"/>
      <c r="I83" s="266"/>
    </row>
    <row r="84" spans="2:9" s="201" customFormat="1" x14ac:dyDescent="0.35">
      <c r="B84" s="541" t="s">
        <v>231</v>
      </c>
      <c r="C84" s="527"/>
      <c r="D84" s="224"/>
      <c r="E84" s="349"/>
      <c r="F84" s="203"/>
      <c r="G84" s="267"/>
    </row>
    <row r="85" spans="2:9" s="201" customFormat="1" ht="33.75" customHeight="1" x14ac:dyDescent="0.35">
      <c r="B85" s="520" t="s">
        <v>232</v>
      </c>
      <c r="C85" s="521"/>
      <c r="D85" s="521"/>
      <c r="E85" s="553"/>
      <c r="F85" s="554"/>
      <c r="G85" s="269"/>
    </row>
    <row r="86" spans="2:9" s="201" customFormat="1" ht="32.25" customHeight="1" x14ac:dyDescent="0.35">
      <c r="B86" s="520" t="s">
        <v>233</v>
      </c>
      <c r="C86" s="521"/>
      <c r="D86" s="521"/>
      <c r="E86" s="553"/>
      <c r="F86" s="554"/>
      <c r="G86" s="259"/>
    </row>
    <row r="87" spans="2:9" s="201" customFormat="1" ht="29.25" customHeight="1" x14ac:dyDescent="0.35">
      <c r="B87" s="520" t="s">
        <v>234</v>
      </c>
      <c r="C87" s="521"/>
      <c r="D87" s="521"/>
      <c r="E87" s="553"/>
      <c r="F87" s="554"/>
      <c r="G87" s="259"/>
    </row>
    <row r="88" spans="2:9" s="201" customFormat="1" ht="23.25" customHeight="1" x14ac:dyDescent="0.35">
      <c r="B88" s="520" t="s">
        <v>235</v>
      </c>
      <c r="C88" s="521"/>
      <c r="D88" s="521"/>
      <c r="E88" s="553"/>
      <c r="F88" s="554"/>
      <c r="G88" s="259"/>
    </row>
    <row r="89" spans="2:9" s="201" customFormat="1" ht="24.75" customHeight="1" x14ac:dyDescent="0.35">
      <c r="B89" s="520" t="s">
        <v>236</v>
      </c>
      <c r="C89" s="521"/>
      <c r="D89" s="521"/>
      <c r="E89" s="553"/>
      <c r="F89" s="554"/>
      <c r="G89" s="259"/>
    </row>
    <row r="90" spans="2:9" s="201" customFormat="1" ht="27.75" customHeight="1" x14ac:dyDescent="0.35">
      <c r="B90" s="531" t="s">
        <v>237</v>
      </c>
      <c r="C90" s="532"/>
      <c r="D90" s="532"/>
      <c r="E90" s="555"/>
      <c r="F90" s="554"/>
      <c r="G90" s="259"/>
    </row>
    <row r="91" spans="2:9" s="201" customFormat="1" ht="33" customHeight="1" x14ac:dyDescent="0.35">
      <c r="B91" s="534" t="s">
        <v>238</v>
      </c>
      <c r="C91" s="535"/>
      <c r="D91" s="535"/>
      <c r="E91" s="549"/>
      <c r="F91" s="554"/>
      <c r="G91" s="259"/>
    </row>
    <row r="92" spans="2:9" s="201" customFormat="1" x14ac:dyDescent="0.25">
      <c r="B92" s="509" t="s">
        <v>239</v>
      </c>
      <c r="C92" s="510"/>
      <c r="D92" s="271"/>
      <c r="E92" s="411">
        <f>(E68+E77)/(1-D83)</f>
        <v>0</v>
      </c>
      <c r="F92" s="203"/>
      <c r="G92" s="250">
        <f>G68+G77+G80+G81+G82</f>
        <v>0</v>
      </c>
    </row>
    <row r="93" spans="2:9" s="201" customFormat="1" ht="26.25" thickBot="1" x14ac:dyDescent="0.4">
      <c r="B93" s="550" t="s">
        <v>240</v>
      </c>
      <c r="C93" s="551"/>
      <c r="D93" s="552"/>
      <c r="E93" s="412" t="e">
        <f>(E83+E77)/E68</f>
        <v>#DIV/0!</v>
      </c>
      <c r="G93" s="272" t="e">
        <f>E93*E68</f>
        <v>#DIV/0!</v>
      </c>
      <c r="H93" s="273">
        <f>E83+E77</f>
        <v>0</v>
      </c>
    </row>
    <row r="94" spans="2:9" s="201" customFormat="1" x14ac:dyDescent="0.35">
      <c r="B94" s="197"/>
      <c r="C94" s="198"/>
      <c r="D94" s="274"/>
      <c r="E94" s="200"/>
      <c r="G94" s="202"/>
    </row>
    <row r="95" spans="2:9" s="201" customFormat="1" x14ac:dyDescent="0.35">
      <c r="B95" s="197"/>
      <c r="C95" s="198"/>
      <c r="D95" s="199"/>
      <c r="E95" s="200"/>
      <c r="G95" s="202"/>
    </row>
    <row r="97" spans="4:4" x14ac:dyDescent="0.35">
      <c r="D97" s="136"/>
    </row>
  </sheetData>
  <sheetProtection algorithmName="SHA-512" hashValue="/yOWebC9r1MHqTqLOhlqpBD/zw2KaJb38SgJY8HNQyfTIihYd08lotr2qHoRrOC0yA6nTSwL3+o1KavuO5q8iQ==" saltValue="Jhusnz0MPwnpggrFnsc5DA==" spinCount="100000" sheet="1" objects="1" scenarios="1"/>
  <mergeCells count="25">
    <mergeCell ref="B78:C78"/>
    <mergeCell ref="B2:E2"/>
    <mergeCell ref="H33:K33"/>
    <mergeCell ref="G46:G47"/>
    <mergeCell ref="B66:C66"/>
    <mergeCell ref="B67:C67"/>
    <mergeCell ref="B68:C68"/>
    <mergeCell ref="C69:E69"/>
    <mergeCell ref="C70:E70"/>
    <mergeCell ref="C71:E71"/>
    <mergeCell ref="B74:E74"/>
    <mergeCell ref="B77:C77"/>
    <mergeCell ref="B91:E91"/>
    <mergeCell ref="B92:C92"/>
    <mergeCell ref="B93:D93"/>
    <mergeCell ref="H80:I80"/>
    <mergeCell ref="B83:C83"/>
    <mergeCell ref="B84:C84"/>
    <mergeCell ref="B85:E85"/>
    <mergeCell ref="F85:F91"/>
    <mergeCell ref="B86:E86"/>
    <mergeCell ref="B87:E87"/>
    <mergeCell ref="B88:E88"/>
    <mergeCell ref="B89:E89"/>
    <mergeCell ref="B90:E90"/>
  </mergeCells>
  <printOptions horizontalCentered="1" verticalCentered="1"/>
  <pageMargins left="0.39370078740157483" right="0.39370078740157483" top="0.39370078740157483" bottom="0.39370078740157483" header="0" footer="0"/>
  <pageSetup paperSize="9" scale="34" orientation="portrait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L97"/>
  <sheetViews>
    <sheetView tabSelected="1" zoomScaleNormal="100" workbookViewId="0">
      <selection activeCell="E13" sqref="E13"/>
    </sheetView>
  </sheetViews>
  <sheetFormatPr defaultRowHeight="25.5" x14ac:dyDescent="0.35"/>
  <cols>
    <col min="1" max="1" width="4.85546875" customWidth="1"/>
    <col min="2" max="2" width="9.140625" style="131"/>
    <col min="3" max="3" width="111.5703125" style="132" customWidth="1"/>
    <col min="4" max="4" width="27.140625" style="133" customWidth="1"/>
    <col min="5" max="5" width="23.5703125" style="134" customWidth="1"/>
    <col min="6" max="6" width="3" customWidth="1"/>
    <col min="7" max="7" width="37.5703125" style="135" hidden="1" customWidth="1"/>
    <col min="8" max="8" width="25.140625" hidden="1" customWidth="1"/>
    <col min="9" max="9" width="20.7109375" hidden="1" customWidth="1"/>
    <col min="10" max="10" width="18.7109375" customWidth="1"/>
    <col min="11" max="11" width="44.140625" customWidth="1"/>
  </cols>
  <sheetData>
    <row r="1" spans="2:11" s="201" customFormat="1" ht="36.75" customHeight="1" thickBot="1" x14ac:dyDescent="0.4">
      <c r="B1" s="197"/>
      <c r="C1" s="198"/>
      <c r="D1" s="199"/>
      <c r="E1" s="200"/>
      <c r="G1" s="202"/>
    </row>
    <row r="2" spans="2:11" s="201" customFormat="1" ht="27.75" customHeight="1" x14ac:dyDescent="0.35">
      <c r="B2" s="556" t="s">
        <v>314</v>
      </c>
      <c r="C2" s="557"/>
      <c r="D2" s="557"/>
      <c r="E2" s="558"/>
      <c r="F2" s="203"/>
      <c r="G2" s="202"/>
    </row>
    <row r="3" spans="2:11" s="201" customFormat="1" x14ac:dyDescent="0.35">
      <c r="B3" s="204" t="s">
        <v>84</v>
      </c>
      <c r="C3" s="205" t="s">
        <v>158</v>
      </c>
      <c r="D3" s="206" t="s">
        <v>159</v>
      </c>
      <c r="E3" s="207" t="s">
        <v>160</v>
      </c>
      <c r="F3" s="203"/>
      <c r="G3" s="202"/>
    </row>
    <row r="4" spans="2:11" s="201" customFormat="1" ht="30.75" customHeight="1" x14ac:dyDescent="0.35">
      <c r="B4" s="208"/>
      <c r="C4" s="209" t="s">
        <v>161</v>
      </c>
      <c r="D4" s="210"/>
      <c r="E4" s="211"/>
      <c r="F4" s="203"/>
      <c r="G4" s="202"/>
    </row>
    <row r="5" spans="2:11" s="201" customFormat="1" x14ac:dyDescent="0.35">
      <c r="B5" s="212" t="s">
        <v>6</v>
      </c>
      <c r="C5" s="213" t="s">
        <v>162</v>
      </c>
      <c r="D5" s="277"/>
      <c r="E5" s="382">
        <v>0</v>
      </c>
      <c r="F5" s="203"/>
      <c r="G5" s="202"/>
    </row>
    <row r="6" spans="2:11" s="201" customFormat="1" x14ac:dyDescent="0.35">
      <c r="B6" s="212" t="s">
        <v>7</v>
      </c>
      <c r="C6" s="214" t="s">
        <v>163</v>
      </c>
      <c r="D6" s="277"/>
      <c r="E6" s="382"/>
      <c r="F6" s="203"/>
      <c r="G6" s="202"/>
    </row>
    <row r="7" spans="2:11" s="202" customFormat="1" ht="34.5" customHeight="1" x14ac:dyDescent="0.35">
      <c r="B7" s="212" t="s">
        <v>8</v>
      </c>
      <c r="C7" s="213" t="s">
        <v>164</v>
      </c>
      <c r="D7" s="277"/>
      <c r="E7" s="382"/>
      <c r="F7" s="203"/>
      <c r="H7" s="201"/>
      <c r="I7" s="201"/>
      <c r="J7" s="201"/>
      <c r="K7" s="201"/>
    </row>
    <row r="8" spans="2:11" s="202" customFormat="1" x14ac:dyDescent="0.35">
      <c r="B8" s="212" t="s">
        <v>9</v>
      </c>
      <c r="C8" s="213" t="s">
        <v>165</v>
      </c>
      <c r="D8" s="277"/>
      <c r="E8" s="382"/>
      <c r="F8" s="203"/>
      <c r="H8" s="201"/>
      <c r="I8" s="201"/>
      <c r="J8" s="201"/>
      <c r="K8" s="201"/>
    </row>
    <row r="9" spans="2:11" s="202" customFormat="1" x14ac:dyDescent="0.35">
      <c r="B9" s="212" t="s">
        <v>10</v>
      </c>
      <c r="C9" s="213" t="s">
        <v>166</v>
      </c>
      <c r="D9" s="277"/>
      <c r="E9" s="382"/>
      <c r="F9" s="203"/>
      <c r="H9" s="201"/>
      <c r="I9" s="201"/>
      <c r="J9" s="201"/>
      <c r="K9" s="201"/>
    </row>
    <row r="10" spans="2:11" s="202" customFormat="1" x14ac:dyDescent="0.35">
      <c r="B10" s="212" t="s">
        <v>11</v>
      </c>
      <c r="C10" s="213" t="s">
        <v>167</v>
      </c>
      <c r="D10" s="277"/>
      <c r="E10" s="382"/>
      <c r="F10" s="203"/>
      <c r="H10" s="201"/>
      <c r="I10" s="201"/>
      <c r="J10" s="201"/>
      <c r="K10" s="201"/>
    </row>
    <row r="11" spans="2:11" s="202" customFormat="1" x14ac:dyDescent="0.35">
      <c r="B11" s="212" t="s">
        <v>12</v>
      </c>
      <c r="C11" s="213" t="s">
        <v>168</v>
      </c>
      <c r="D11" s="277"/>
      <c r="E11" s="382"/>
      <c r="F11" s="203"/>
      <c r="H11" s="201"/>
      <c r="I11" s="201"/>
      <c r="J11" s="201"/>
      <c r="K11" s="201"/>
    </row>
    <row r="12" spans="2:11" s="202" customFormat="1" x14ac:dyDescent="0.35">
      <c r="B12" s="212" t="s">
        <v>13</v>
      </c>
      <c r="C12" s="213" t="s">
        <v>169</v>
      </c>
      <c r="D12" s="277"/>
      <c r="E12" s="382"/>
      <c r="F12" s="203"/>
      <c r="H12" s="201"/>
      <c r="I12" s="201"/>
      <c r="J12" s="201"/>
      <c r="K12" s="201"/>
    </row>
    <row r="13" spans="2:11" s="202" customFormat="1" ht="28.5" customHeight="1" x14ac:dyDescent="0.35">
      <c r="B13" s="215"/>
      <c r="C13" s="216" t="s">
        <v>170</v>
      </c>
      <c r="D13" s="206"/>
      <c r="E13" s="346">
        <f>SUM(E5:E12)</f>
        <v>0</v>
      </c>
      <c r="F13" s="203"/>
      <c r="H13" s="201"/>
      <c r="I13" s="201"/>
      <c r="J13" s="201"/>
      <c r="K13" s="201"/>
    </row>
    <row r="14" spans="2:11" s="202" customFormat="1" ht="30" customHeight="1" x14ac:dyDescent="0.35">
      <c r="B14" s="208"/>
      <c r="C14" s="209" t="s">
        <v>171</v>
      </c>
      <c r="D14" s="210"/>
      <c r="E14" s="350"/>
      <c r="F14" s="203"/>
      <c r="H14" s="201"/>
      <c r="I14" s="201"/>
      <c r="J14" s="201"/>
      <c r="K14" s="201"/>
    </row>
    <row r="15" spans="2:11" s="202" customFormat="1" x14ac:dyDescent="0.35">
      <c r="B15" s="217" t="s">
        <v>6</v>
      </c>
      <c r="C15" s="218" t="s">
        <v>172</v>
      </c>
      <c r="D15" s="276"/>
      <c r="E15" s="383">
        <v>0</v>
      </c>
      <c r="F15" s="203"/>
      <c r="H15" s="201"/>
      <c r="I15" s="201"/>
      <c r="J15" s="201"/>
      <c r="K15" s="201"/>
    </row>
    <row r="16" spans="2:11" s="201" customFormat="1" x14ac:dyDescent="0.35">
      <c r="B16" s="217" t="s">
        <v>7</v>
      </c>
      <c r="C16" s="218" t="s">
        <v>173</v>
      </c>
      <c r="D16" s="276"/>
      <c r="E16" s="413">
        <f>-1*6/100*E5</f>
        <v>0</v>
      </c>
      <c r="F16" s="203"/>
      <c r="G16" s="202"/>
    </row>
    <row r="17" spans="2:12" s="201" customFormat="1" x14ac:dyDescent="0.35">
      <c r="B17" s="217" t="s">
        <v>8</v>
      </c>
      <c r="C17" s="218" t="s">
        <v>174</v>
      </c>
      <c r="D17" s="276"/>
      <c r="E17" s="383">
        <v>0</v>
      </c>
      <c r="F17" s="203"/>
      <c r="G17" s="220"/>
      <c r="H17" s="221"/>
      <c r="I17" s="222"/>
    </row>
    <row r="18" spans="2:12" s="201" customFormat="1" ht="31.5" customHeight="1" x14ac:dyDescent="0.35">
      <c r="B18" s="217" t="s">
        <v>9</v>
      </c>
      <c r="C18" s="218" t="s">
        <v>262</v>
      </c>
      <c r="D18" s="276"/>
      <c r="E18" s="383"/>
      <c r="F18" s="203"/>
      <c r="G18" s="202"/>
    </row>
    <row r="19" spans="2:12" s="201" customFormat="1" x14ac:dyDescent="0.35">
      <c r="B19" s="217" t="s">
        <v>10</v>
      </c>
      <c r="C19" s="218" t="s">
        <v>263</v>
      </c>
      <c r="D19" s="276"/>
      <c r="E19" s="383"/>
      <c r="F19" s="203"/>
      <c r="G19" s="202"/>
    </row>
    <row r="20" spans="2:12" s="201" customFormat="1" x14ac:dyDescent="0.35">
      <c r="B20" s="217" t="s">
        <v>11</v>
      </c>
      <c r="C20" s="218" t="s">
        <v>264</v>
      </c>
      <c r="D20" s="276"/>
      <c r="E20" s="383"/>
      <c r="F20" s="203"/>
      <c r="G20" s="202"/>
    </row>
    <row r="21" spans="2:12" s="201" customFormat="1" x14ac:dyDescent="0.35">
      <c r="B21" s="217" t="s">
        <v>12</v>
      </c>
      <c r="C21" s="353" t="s">
        <v>337</v>
      </c>
      <c r="D21" s="276"/>
      <c r="E21" s="383"/>
      <c r="F21" s="203"/>
      <c r="G21" s="202"/>
    </row>
    <row r="22" spans="2:12" s="201" customFormat="1" ht="36.75" customHeight="1" x14ac:dyDescent="0.35">
      <c r="B22" s="223"/>
      <c r="C22" s="216" t="s">
        <v>175</v>
      </c>
      <c r="D22" s="224"/>
      <c r="E22" s="416">
        <f>SUM(E15:E21)</f>
        <v>0</v>
      </c>
      <c r="F22" s="203"/>
      <c r="G22" s="202"/>
    </row>
    <row r="23" spans="2:12" s="201" customFormat="1" ht="30" customHeight="1" x14ac:dyDescent="0.35">
      <c r="B23" s="208"/>
      <c r="C23" s="225" t="s">
        <v>176</v>
      </c>
      <c r="D23" s="226"/>
      <c r="E23" s="351"/>
      <c r="F23" s="203"/>
      <c r="G23" s="202"/>
    </row>
    <row r="24" spans="2:12" s="201" customFormat="1" x14ac:dyDescent="0.35">
      <c r="B24" s="217" t="s">
        <v>6</v>
      </c>
      <c r="C24" s="218" t="s">
        <v>177</v>
      </c>
      <c r="D24" s="276"/>
      <c r="E24" s="383">
        <f>Uniforme!G39</f>
        <v>0</v>
      </c>
      <c r="F24" s="203"/>
      <c r="G24" s="202"/>
    </row>
    <row r="25" spans="2:12" s="201" customFormat="1" x14ac:dyDescent="0.35">
      <c r="B25" s="217" t="s">
        <v>7</v>
      </c>
      <c r="C25" s="218" t="s">
        <v>178</v>
      </c>
      <c r="D25" s="276"/>
      <c r="E25" s="383"/>
      <c r="F25" s="203"/>
      <c r="G25" s="202"/>
    </row>
    <row r="26" spans="2:12" s="201" customFormat="1" x14ac:dyDescent="0.35">
      <c r="B26" s="217" t="s">
        <v>8</v>
      </c>
      <c r="C26" s="218" t="s">
        <v>179</v>
      </c>
      <c r="D26" s="276"/>
      <c r="E26" s="383"/>
      <c r="F26" s="203"/>
      <c r="G26" s="202"/>
    </row>
    <row r="27" spans="2:12" s="201" customFormat="1" x14ac:dyDescent="0.35">
      <c r="B27" s="217" t="s">
        <v>9</v>
      </c>
      <c r="C27" s="218" t="s">
        <v>169</v>
      </c>
      <c r="D27" s="276"/>
      <c r="E27" s="383"/>
      <c r="F27" s="203"/>
      <c r="G27" s="202"/>
    </row>
    <row r="28" spans="2:12" s="201" customFormat="1" ht="31.5" customHeight="1" x14ac:dyDescent="0.35">
      <c r="B28" s="223"/>
      <c r="C28" s="216" t="s">
        <v>180</v>
      </c>
      <c r="D28" s="224"/>
      <c r="E28" s="416">
        <f>SUM(E24:E27)</f>
        <v>0</v>
      </c>
      <c r="F28" s="203"/>
      <c r="G28" s="202"/>
    </row>
    <row r="29" spans="2:12" s="201" customFormat="1" ht="28.5" customHeight="1" x14ac:dyDescent="0.35">
      <c r="B29" s="208"/>
      <c r="C29" s="225" t="s">
        <v>181</v>
      </c>
      <c r="D29" s="226"/>
      <c r="E29" s="351"/>
      <c r="F29" s="203"/>
      <c r="G29" s="227"/>
      <c r="H29" s="228"/>
      <c r="I29" s="228"/>
      <c r="J29" s="228"/>
      <c r="K29" s="228"/>
      <c r="L29" s="228"/>
    </row>
    <row r="30" spans="2:12" s="201" customFormat="1" ht="30.75" customHeight="1" x14ac:dyDescent="0.35">
      <c r="B30" s="229"/>
      <c r="C30" s="216" t="s">
        <v>182</v>
      </c>
      <c r="D30" s="230"/>
      <c r="E30" s="352"/>
      <c r="F30" s="203"/>
      <c r="G30" s="227"/>
      <c r="H30" s="228"/>
      <c r="I30" s="228"/>
      <c r="J30" s="228"/>
      <c r="K30" s="228"/>
      <c r="L30" s="228"/>
    </row>
    <row r="31" spans="2:12" s="201" customFormat="1" x14ac:dyDescent="0.35">
      <c r="B31" s="217" t="s">
        <v>6</v>
      </c>
      <c r="C31" s="406" t="s">
        <v>183</v>
      </c>
      <c r="D31" s="392">
        <v>0.2</v>
      </c>
      <c r="E31" s="413">
        <f>ROUND($D31*E$13,2)</f>
        <v>0</v>
      </c>
      <c r="F31" s="203"/>
      <c r="G31" s="227"/>
      <c r="H31" s="228"/>
      <c r="I31" s="228"/>
      <c r="J31" s="228"/>
      <c r="K31" s="228"/>
      <c r="L31" s="228"/>
    </row>
    <row r="32" spans="2:12" s="201" customFormat="1" x14ac:dyDescent="0.25">
      <c r="B32" s="217" t="s">
        <v>7</v>
      </c>
      <c r="C32" s="407" t="s">
        <v>184</v>
      </c>
      <c r="D32" s="392">
        <v>1.4999999999999999E-2</v>
      </c>
      <c r="E32" s="413">
        <f t="shared" ref="E32:E38" si="0">ROUND($D32*E$13,2)</f>
        <v>0</v>
      </c>
      <c r="F32" s="203"/>
      <c r="G32" s="231"/>
      <c r="H32" s="228"/>
      <c r="I32" s="228"/>
      <c r="J32" s="228"/>
      <c r="K32" s="228"/>
      <c r="L32" s="228"/>
    </row>
    <row r="33" spans="2:12" s="201" customFormat="1" x14ac:dyDescent="0.35">
      <c r="B33" s="217" t="s">
        <v>8</v>
      </c>
      <c r="C33" s="406" t="s">
        <v>185</v>
      </c>
      <c r="D33" s="392">
        <v>0.01</v>
      </c>
      <c r="E33" s="413">
        <f t="shared" si="0"/>
        <v>0</v>
      </c>
      <c r="F33" s="203"/>
      <c r="G33" s="227"/>
      <c r="H33" s="545"/>
      <c r="I33" s="545"/>
      <c r="J33" s="545"/>
      <c r="K33" s="545"/>
      <c r="L33" s="228"/>
    </row>
    <row r="34" spans="2:12" s="201" customFormat="1" x14ac:dyDescent="0.35">
      <c r="B34" s="217" t="s">
        <v>9</v>
      </c>
      <c r="C34" s="406" t="s">
        <v>186</v>
      </c>
      <c r="D34" s="392">
        <v>2E-3</v>
      </c>
      <c r="E34" s="413">
        <f t="shared" si="0"/>
        <v>0</v>
      </c>
      <c r="F34" s="203"/>
      <c r="G34" s="227"/>
      <c r="H34" s="232"/>
      <c r="I34" s="232"/>
      <c r="J34" s="232"/>
      <c r="K34" s="232"/>
      <c r="L34" s="228"/>
    </row>
    <row r="35" spans="2:12" s="201" customFormat="1" x14ac:dyDescent="0.35">
      <c r="B35" s="217" t="s">
        <v>10</v>
      </c>
      <c r="C35" s="406" t="s">
        <v>187</v>
      </c>
      <c r="D35" s="392">
        <v>2.5000000000000001E-2</v>
      </c>
      <c r="E35" s="413">
        <f t="shared" si="0"/>
        <v>0</v>
      </c>
      <c r="F35" s="203"/>
      <c r="G35" s="227"/>
      <c r="H35" s="233"/>
      <c r="I35" s="234"/>
      <c r="J35" s="235"/>
      <c r="K35" s="235"/>
      <c r="L35" s="228"/>
    </row>
    <row r="36" spans="2:12" s="201" customFormat="1" ht="31.5" customHeight="1" x14ac:dyDescent="0.35">
      <c r="B36" s="217" t="s">
        <v>11</v>
      </c>
      <c r="C36" s="408" t="s">
        <v>188</v>
      </c>
      <c r="D36" s="392">
        <v>0.08</v>
      </c>
      <c r="E36" s="413">
        <f t="shared" si="0"/>
        <v>0</v>
      </c>
      <c r="F36" s="203"/>
      <c r="G36" s="227"/>
      <c r="H36" s="228"/>
      <c r="I36" s="228"/>
      <c r="J36" s="228"/>
      <c r="K36" s="228"/>
      <c r="L36" s="228"/>
    </row>
    <row r="37" spans="2:12" s="201" customFormat="1" x14ac:dyDescent="0.25">
      <c r="B37" s="217" t="s">
        <v>12</v>
      </c>
      <c r="C37" s="409" t="s">
        <v>189</v>
      </c>
      <c r="D37" s="393">
        <v>0.03</v>
      </c>
      <c r="E37" s="413">
        <f t="shared" si="0"/>
        <v>0</v>
      </c>
      <c r="F37" s="203"/>
      <c r="G37" s="231"/>
      <c r="H37" s="228"/>
      <c r="I37" s="228"/>
      <c r="J37" s="228"/>
      <c r="K37" s="228"/>
      <c r="L37" s="228"/>
    </row>
    <row r="38" spans="2:12" s="201" customFormat="1" x14ac:dyDescent="0.35">
      <c r="B38" s="217" t="s">
        <v>13</v>
      </c>
      <c r="C38" s="406" t="s">
        <v>190</v>
      </c>
      <c r="D38" s="392">
        <v>6.0000000000000001E-3</v>
      </c>
      <c r="E38" s="413">
        <f t="shared" si="0"/>
        <v>0</v>
      </c>
      <c r="F38" s="203"/>
      <c r="G38" s="227"/>
      <c r="H38" s="228"/>
      <c r="I38" s="228"/>
      <c r="J38" s="228"/>
      <c r="K38" s="228"/>
      <c r="L38" s="228"/>
    </row>
    <row r="39" spans="2:12" s="201" customFormat="1" ht="31.5" customHeight="1" x14ac:dyDescent="0.35">
      <c r="B39" s="215"/>
      <c r="C39" s="236" t="s">
        <v>191</v>
      </c>
      <c r="D39" s="387">
        <f>SUM(D31:D38)</f>
        <v>0.3680000000000001</v>
      </c>
      <c r="E39" s="416">
        <f>SUM(E31:E38)</f>
        <v>0</v>
      </c>
      <c r="F39" s="203"/>
      <c r="G39" s="237"/>
      <c r="H39" s="228"/>
      <c r="I39" s="228"/>
      <c r="J39" s="228"/>
      <c r="K39" s="228"/>
      <c r="L39" s="228"/>
    </row>
    <row r="40" spans="2:12" s="201" customFormat="1" ht="29.25" customHeight="1" x14ac:dyDescent="0.35">
      <c r="B40" s="229"/>
      <c r="C40" s="216" t="s">
        <v>192</v>
      </c>
      <c r="D40" s="384"/>
      <c r="E40" s="417"/>
      <c r="F40" s="203"/>
      <c r="G40" s="202"/>
    </row>
    <row r="41" spans="2:12" s="201" customFormat="1" ht="29.25" customHeight="1" x14ac:dyDescent="0.35">
      <c r="B41" s="217" t="s">
        <v>6</v>
      </c>
      <c r="C41" s="238" t="s">
        <v>193</v>
      </c>
      <c r="D41" s="395">
        <f>1/12</f>
        <v>8.3333333333333329E-2</v>
      </c>
      <c r="E41" s="413">
        <f>ROUND($D41*E$13,2)</f>
        <v>0</v>
      </c>
      <c r="F41" s="203"/>
      <c r="G41" s="202"/>
    </row>
    <row r="42" spans="2:12" s="201" customFormat="1" ht="30.75" customHeight="1" x14ac:dyDescent="0.35">
      <c r="B42" s="217" t="s">
        <v>7</v>
      </c>
      <c r="C42" s="238" t="s">
        <v>194</v>
      </c>
      <c r="D42" s="395">
        <f>1/12*1/3</f>
        <v>2.7777777777777776E-2</v>
      </c>
      <c r="E42" s="413">
        <f t="shared" ref="E42:E43" si="1">ROUND($D42*E$13,2)</f>
        <v>0</v>
      </c>
      <c r="F42" s="203"/>
      <c r="G42" s="202"/>
    </row>
    <row r="43" spans="2:12" s="201" customFormat="1" ht="30.75" customHeight="1" x14ac:dyDescent="0.35">
      <c r="B43" s="217" t="s">
        <v>8</v>
      </c>
      <c r="C43" s="218" t="s">
        <v>195</v>
      </c>
      <c r="D43" s="395">
        <f>D39*(D41+D42)</f>
        <v>4.0888888888888898E-2</v>
      </c>
      <c r="E43" s="413">
        <f t="shared" si="1"/>
        <v>0</v>
      </c>
      <c r="F43" s="203"/>
      <c r="G43" s="202"/>
    </row>
    <row r="44" spans="2:12" s="201" customFormat="1" ht="36.75" customHeight="1" x14ac:dyDescent="0.35">
      <c r="B44" s="229"/>
      <c r="C44" s="216" t="s">
        <v>196</v>
      </c>
      <c r="D44" s="387">
        <f>SUM(D41:D43)</f>
        <v>0.152</v>
      </c>
      <c r="E44" s="416">
        <f>SUM(E41:E43)</f>
        <v>0</v>
      </c>
      <c r="F44" s="203"/>
      <c r="G44" s="239"/>
    </row>
    <row r="45" spans="2:12" s="201" customFormat="1" ht="28.5" customHeight="1" x14ac:dyDescent="0.35">
      <c r="B45" s="229"/>
      <c r="C45" s="216" t="s">
        <v>197</v>
      </c>
      <c r="D45" s="384"/>
      <c r="E45" s="417"/>
      <c r="F45" s="203"/>
      <c r="G45" s="202"/>
    </row>
    <row r="46" spans="2:12" s="201" customFormat="1" ht="30.75" customHeight="1" x14ac:dyDescent="0.25">
      <c r="B46" s="217" t="s">
        <v>6</v>
      </c>
      <c r="C46" s="218" t="s">
        <v>198</v>
      </c>
      <c r="D46" s="396">
        <f>((1+1/3)/12)*2/100*4/12</f>
        <v>7.407407407407407E-4</v>
      </c>
      <c r="E46" s="418">
        <f>ROUND($D46*E$13,2)</f>
        <v>0</v>
      </c>
      <c r="F46" s="203"/>
      <c r="G46" s="546"/>
    </row>
    <row r="47" spans="2:12" s="201" customFormat="1" ht="31.15" customHeight="1" x14ac:dyDescent="0.25">
      <c r="B47" s="217" t="s">
        <v>7</v>
      </c>
      <c r="C47" s="218" t="s">
        <v>199</v>
      </c>
      <c r="D47" s="396">
        <f>D39*D46</f>
        <v>2.7259259259259267E-4</v>
      </c>
      <c r="E47" s="418">
        <f t="shared" ref="E47:E48" si="2">ROUND($D47*E$13,2)</f>
        <v>0</v>
      </c>
      <c r="F47" s="203"/>
      <c r="G47" s="546"/>
    </row>
    <row r="48" spans="2:12" s="201" customFormat="1" ht="31.9" customHeight="1" x14ac:dyDescent="0.25">
      <c r="B48" s="217" t="s">
        <v>8</v>
      </c>
      <c r="C48" s="218" t="s">
        <v>200</v>
      </c>
      <c r="D48" s="396">
        <f>D39*(2/100*4/12)</f>
        <v>2.4533333333333343E-3</v>
      </c>
      <c r="E48" s="418">
        <f t="shared" si="2"/>
        <v>0</v>
      </c>
      <c r="F48" s="203"/>
      <c r="G48" s="241"/>
    </row>
    <row r="49" spans="2:9" s="201" customFormat="1" ht="27.75" customHeight="1" x14ac:dyDescent="0.35">
      <c r="B49" s="229"/>
      <c r="C49" s="216" t="s">
        <v>201</v>
      </c>
      <c r="D49" s="387">
        <f>SUM(D46:D48)</f>
        <v>3.4666666666666674E-3</v>
      </c>
      <c r="E49" s="416">
        <f>SUM(E46:E48)</f>
        <v>0</v>
      </c>
      <c r="F49" s="203"/>
      <c r="G49" s="239"/>
    </row>
    <row r="50" spans="2:9" s="201" customFormat="1" ht="30" customHeight="1" x14ac:dyDescent="0.35">
      <c r="B50" s="229"/>
      <c r="C50" s="216" t="s">
        <v>202</v>
      </c>
      <c r="D50" s="384"/>
      <c r="E50" s="417"/>
      <c r="F50" s="203"/>
      <c r="G50" s="202"/>
    </row>
    <row r="51" spans="2:9" s="201" customFormat="1" ht="33" customHeight="1" x14ac:dyDescent="0.35">
      <c r="B51" s="217" t="s">
        <v>6</v>
      </c>
      <c r="C51" s="242" t="s">
        <v>203</v>
      </c>
      <c r="D51" s="395">
        <f>((1/12)*3.5/100)+(((1/12)*3.5/100)*(1/12+((1+1/3)/12)))</f>
        <v>3.4837962962962956E-3</v>
      </c>
      <c r="E51" s="413">
        <f>ROUND($D51*E$13,2)</f>
        <v>0</v>
      </c>
      <c r="F51" s="203"/>
      <c r="G51" s="202"/>
    </row>
    <row r="52" spans="2:9" s="201" customFormat="1" ht="34.5" customHeight="1" x14ac:dyDescent="0.35">
      <c r="B52" s="217" t="s">
        <v>7</v>
      </c>
      <c r="C52" s="218" t="s">
        <v>204</v>
      </c>
      <c r="D52" s="397">
        <f>D39*(1/12*(3.5/100))*1/12</f>
        <v>8.944444444444447E-5</v>
      </c>
      <c r="E52" s="413">
        <f t="shared" ref="E52:E55" si="3">ROUND($D52*E$13,2)</f>
        <v>0</v>
      </c>
      <c r="F52" s="203"/>
      <c r="G52" s="202"/>
    </row>
    <row r="53" spans="2:9" s="201" customFormat="1" ht="30.75" customHeight="1" x14ac:dyDescent="0.35">
      <c r="B53" s="217" t="s">
        <v>8</v>
      </c>
      <c r="C53" s="218" t="s">
        <v>205</v>
      </c>
      <c r="D53" s="397">
        <f>8/100*50/100*D51</f>
        <v>1.3935185185185182E-4</v>
      </c>
      <c r="E53" s="413">
        <f t="shared" si="3"/>
        <v>0</v>
      </c>
      <c r="F53" s="203"/>
      <c r="G53" s="202"/>
    </row>
    <row r="54" spans="2:9" s="201" customFormat="1" ht="29.25" customHeight="1" x14ac:dyDescent="0.35">
      <c r="B54" s="217" t="s">
        <v>9</v>
      </c>
      <c r="C54" s="218" t="s">
        <v>206</v>
      </c>
      <c r="D54" s="395">
        <f>8/100*50/100</f>
        <v>0.04</v>
      </c>
      <c r="E54" s="413">
        <f t="shared" si="3"/>
        <v>0</v>
      </c>
      <c r="F54" s="203"/>
      <c r="G54" s="202"/>
    </row>
    <row r="55" spans="2:9" s="201" customFormat="1" ht="27" customHeight="1" x14ac:dyDescent="0.35">
      <c r="B55" s="217" t="s">
        <v>10</v>
      </c>
      <c r="C55" s="218" t="s">
        <v>207</v>
      </c>
      <c r="D55" s="395">
        <f>1/12*1/100</f>
        <v>8.3333333333333328E-4</v>
      </c>
      <c r="E55" s="413">
        <f t="shared" si="3"/>
        <v>0</v>
      </c>
      <c r="F55" s="203"/>
      <c r="G55" s="202"/>
    </row>
    <row r="56" spans="2:9" s="201" customFormat="1" ht="28.5" customHeight="1" x14ac:dyDescent="0.35">
      <c r="B56" s="229"/>
      <c r="C56" s="216" t="s">
        <v>208</v>
      </c>
      <c r="D56" s="387">
        <f>SUM(D51:D55)</f>
        <v>4.4545925925925926E-2</v>
      </c>
      <c r="E56" s="416">
        <f>SUM(E51:E55)</f>
        <v>0</v>
      </c>
      <c r="F56" s="203"/>
      <c r="G56" s="239"/>
      <c r="I56" s="243"/>
    </row>
    <row r="57" spans="2:9" s="201" customFormat="1" ht="25.5" customHeight="1" x14ac:dyDescent="0.35">
      <c r="B57" s="229"/>
      <c r="C57" s="244" t="s">
        <v>209</v>
      </c>
      <c r="D57" s="384"/>
      <c r="E57" s="417"/>
      <c r="F57" s="203"/>
      <c r="G57" s="202"/>
    </row>
    <row r="58" spans="2:9" s="201" customFormat="1" x14ac:dyDescent="0.35">
      <c r="B58" s="217" t="s">
        <v>6</v>
      </c>
      <c r="C58" s="245" t="s">
        <v>210</v>
      </c>
      <c r="D58" s="395">
        <f>1/12</f>
        <v>8.3333333333333329E-2</v>
      </c>
      <c r="E58" s="413">
        <f>ROUND($D58*E$13,2)</f>
        <v>0</v>
      </c>
      <c r="F58" s="203"/>
      <c r="G58" s="246"/>
    </row>
    <row r="59" spans="2:9" s="201" customFormat="1" x14ac:dyDescent="0.35">
      <c r="B59" s="217" t="s">
        <v>7</v>
      </c>
      <c r="C59" s="247" t="s">
        <v>211</v>
      </c>
      <c r="D59" s="395">
        <f>(4.14*1/12*1/30)</f>
        <v>1.15E-2</v>
      </c>
      <c r="E59" s="413">
        <f t="shared" ref="E59:E65" si="4">ROUND($D59*E$13,2)</f>
        <v>0</v>
      </c>
      <c r="F59" s="203"/>
      <c r="G59" s="202"/>
    </row>
    <row r="60" spans="2:9" s="201" customFormat="1" x14ac:dyDescent="0.35">
      <c r="B60" s="217" t="s">
        <v>8</v>
      </c>
      <c r="C60" s="247" t="s">
        <v>212</v>
      </c>
      <c r="D60" s="395">
        <f>5*1/12*1/30*1.5/100</f>
        <v>2.0833333333333335E-4</v>
      </c>
      <c r="E60" s="413">
        <f t="shared" si="4"/>
        <v>0</v>
      </c>
      <c r="F60" s="203"/>
      <c r="G60" s="202"/>
    </row>
    <row r="61" spans="2:9" s="201" customFormat="1" x14ac:dyDescent="0.35">
      <c r="B61" s="217" t="s">
        <v>9</v>
      </c>
      <c r="C61" s="247" t="s">
        <v>213</v>
      </c>
      <c r="D61" s="395">
        <f>1*1/12*1/30</f>
        <v>2.7777777777777775E-3</v>
      </c>
      <c r="E61" s="413">
        <f t="shared" si="4"/>
        <v>0</v>
      </c>
      <c r="F61" s="203"/>
      <c r="G61" s="202"/>
    </row>
    <row r="62" spans="2:9" s="201" customFormat="1" x14ac:dyDescent="0.25">
      <c r="B62" s="217" t="s">
        <v>10</v>
      </c>
      <c r="C62" s="247" t="s">
        <v>214</v>
      </c>
      <c r="D62" s="396">
        <f>15*1/12*1/30*8/100</f>
        <v>3.3333333333333331E-3</v>
      </c>
      <c r="E62" s="413">
        <f t="shared" si="4"/>
        <v>0</v>
      </c>
      <c r="F62" s="203"/>
      <c r="G62" s="248"/>
    </row>
    <row r="63" spans="2:9" s="201" customFormat="1" x14ac:dyDescent="0.35">
      <c r="B63" s="217" t="s">
        <v>11</v>
      </c>
      <c r="C63" s="245" t="s">
        <v>215</v>
      </c>
      <c r="D63" s="395">
        <f>7*1/12*1/30*5/100</f>
        <v>9.7222222222222219E-4</v>
      </c>
      <c r="E63" s="413">
        <f t="shared" si="4"/>
        <v>0</v>
      </c>
      <c r="F63" s="203"/>
      <c r="G63" s="202"/>
    </row>
    <row r="64" spans="2:9" s="201" customFormat="1" x14ac:dyDescent="0.35">
      <c r="B64" s="217" t="s">
        <v>12</v>
      </c>
      <c r="C64" s="247" t="s">
        <v>216</v>
      </c>
      <c r="D64" s="395">
        <f>D39*(SUM(D58:D63))</f>
        <v>3.7582000000000011E-2</v>
      </c>
      <c r="E64" s="413">
        <f t="shared" si="4"/>
        <v>0</v>
      </c>
      <c r="F64" s="203"/>
      <c r="G64" s="202"/>
    </row>
    <row r="65" spans="2:9" s="201" customFormat="1" ht="31.5" customHeight="1" x14ac:dyDescent="0.35">
      <c r="B65" s="217" t="s">
        <v>13</v>
      </c>
      <c r="C65" s="247" t="s">
        <v>217</v>
      </c>
      <c r="D65" s="395">
        <f>(D44+D49+D56)*SUM(D58:D63)</f>
        <v>2.0426286018518518E-2</v>
      </c>
      <c r="E65" s="413">
        <f t="shared" si="4"/>
        <v>0</v>
      </c>
      <c r="F65" s="203"/>
      <c r="G65" s="202"/>
    </row>
    <row r="66" spans="2:9" s="201" customFormat="1" x14ac:dyDescent="0.35">
      <c r="B66" s="526" t="s">
        <v>218</v>
      </c>
      <c r="C66" s="527"/>
      <c r="D66" s="398">
        <f>SUM(D58:D65)</f>
        <v>0.16013328601851851</v>
      </c>
      <c r="E66" s="414">
        <f>SUM(E58:E65)</f>
        <v>0</v>
      </c>
      <c r="F66" s="203"/>
      <c r="G66" s="239"/>
    </row>
    <row r="67" spans="2:9" s="201" customFormat="1" x14ac:dyDescent="0.35">
      <c r="B67" s="541" t="s">
        <v>219</v>
      </c>
      <c r="C67" s="527"/>
      <c r="D67" s="387">
        <f>D39+D44+D49+D56+D66</f>
        <v>0.72814587861111113</v>
      </c>
      <c r="E67" s="416">
        <f>E39+E44+E49+E56+E66</f>
        <v>0</v>
      </c>
      <c r="F67" s="203"/>
      <c r="G67" s="239"/>
    </row>
    <row r="68" spans="2:9" s="201" customFormat="1" ht="26.25" thickBot="1" x14ac:dyDescent="0.3">
      <c r="B68" s="547" t="s">
        <v>220</v>
      </c>
      <c r="C68" s="548"/>
      <c r="D68" s="249"/>
      <c r="E68" s="419">
        <f>E13+E22+E28+E67</f>
        <v>0</v>
      </c>
      <c r="F68" s="203"/>
      <c r="G68" s="250">
        <f>E68</f>
        <v>0</v>
      </c>
    </row>
    <row r="69" spans="2:9" s="201" customFormat="1" ht="26.25" x14ac:dyDescent="0.25">
      <c r="B69" s="251" t="s">
        <v>40</v>
      </c>
      <c r="C69" s="514"/>
      <c r="D69" s="515"/>
      <c r="E69" s="515"/>
      <c r="F69" s="203"/>
      <c r="G69" s="252"/>
    </row>
    <row r="70" spans="2:9" s="201" customFormat="1" ht="33" customHeight="1" x14ac:dyDescent="0.25">
      <c r="B70" s="253" t="s">
        <v>265</v>
      </c>
      <c r="C70" s="516" t="s">
        <v>338</v>
      </c>
      <c r="D70" s="517"/>
      <c r="E70" s="518"/>
      <c r="F70" s="203"/>
      <c r="G70" s="252"/>
    </row>
    <row r="71" spans="2:9" s="201" customFormat="1" ht="53.25" customHeight="1" x14ac:dyDescent="0.25">
      <c r="B71" s="254" t="s">
        <v>266</v>
      </c>
      <c r="C71" s="519" t="s">
        <v>267</v>
      </c>
      <c r="D71" s="519"/>
      <c r="E71" s="519"/>
      <c r="F71" s="203"/>
      <c r="G71" s="252"/>
    </row>
    <row r="72" spans="2:9" s="201" customFormat="1" x14ac:dyDescent="0.25">
      <c r="B72" s="255"/>
      <c r="C72" s="256"/>
      <c r="D72" s="257"/>
      <c r="E72" s="258"/>
      <c r="F72" s="203"/>
      <c r="G72" s="252"/>
    </row>
    <row r="73" spans="2:9" s="201" customFormat="1" x14ac:dyDescent="0.25">
      <c r="B73" s="255"/>
      <c r="C73" s="256"/>
      <c r="D73" s="257"/>
      <c r="E73" s="258"/>
      <c r="F73" s="203"/>
      <c r="G73" s="252"/>
    </row>
    <row r="74" spans="2:9" s="201" customFormat="1" ht="29.25" customHeight="1" x14ac:dyDescent="0.35">
      <c r="B74" s="559" t="s">
        <v>221</v>
      </c>
      <c r="C74" s="560"/>
      <c r="D74" s="560"/>
      <c r="E74" s="561"/>
      <c r="F74" s="203"/>
      <c r="G74" s="259"/>
    </row>
    <row r="75" spans="2:9" s="201" customFormat="1" ht="29.25" customHeight="1" x14ac:dyDescent="0.35">
      <c r="B75" s="217" t="s">
        <v>6</v>
      </c>
      <c r="C75" s="218" t="s">
        <v>222</v>
      </c>
      <c r="D75" s="394">
        <v>0</v>
      </c>
      <c r="E75" s="413">
        <f>D75*E68</f>
        <v>0</v>
      </c>
      <c r="F75" s="203"/>
      <c r="G75" s="259"/>
    </row>
    <row r="76" spans="2:9" s="201" customFormat="1" x14ac:dyDescent="0.35">
      <c r="B76" s="217" t="s">
        <v>7</v>
      </c>
      <c r="C76" s="218" t="s">
        <v>223</v>
      </c>
      <c r="D76" s="392">
        <v>0</v>
      </c>
      <c r="E76" s="413">
        <f>D76*(E68+E75)</f>
        <v>0</v>
      </c>
      <c r="F76" s="203"/>
      <c r="G76" s="259"/>
    </row>
    <row r="77" spans="2:9" s="201" customFormat="1" x14ac:dyDescent="0.35">
      <c r="B77" s="526" t="s">
        <v>224</v>
      </c>
      <c r="C77" s="527"/>
      <c r="D77" s="224"/>
      <c r="E77" s="414">
        <f>E75+E76</f>
        <v>0</v>
      </c>
      <c r="F77" s="203"/>
      <c r="G77" s="260">
        <f>E77</f>
        <v>0</v>
      </c>
    </row>
    <row r="78" spans="2:9" s="201" customFormat="1" x14ac:dyDescent="0.35">
      <c r="B78" s="528" t="s">
        <v>225</v>
      </c>
      <c r="C78" s="529"/>
      <c r="D78" s="261"/>
      <c r="E78" s="415"/>
      <c r="F78" s="203"/>
      <c r="G78" s="259"/>
    </row>
    <row r="79" spans="2:9" s="201" customFormat="1" x14ac:dyDescent="0.35">
      <c r="B79" s="262" t="s">
        <v>8</v>
      </c>
      <c r="C79" s="410" t="s">
        <v>226</v>
      </c>
      <c r="D79" s="420" t="s">
        <v>227</v>
      </c>
      <c r="E79" s="418"/>
      <c r="F79" s="203"/>
      <c r="G79" s="259"/>
    </row>
    <row r="80" spans="2:9" s="201" customFormat="1" x14ac:dyDescent="0.25">
      <c r="B80" s="217"/>
      <c r="C80" s="409" t="s">
        <v>228</v>
      </c>
      <c r="D80" s="392">
        <v>0</v>
      </c>
      <c r="E80" s="413">
        <f>$D80*E$92</f>
        <v>0</v>
      </c>
      <c r="F80" s="203"/>
      <c r="G80" s="250">
        <f>D80*E92</f>
        <v>0</v>
      </c>
      <c r="H80" s="537" t="s">
        <v>229</v>
      </c>
      <c r="I80" s="538"/>
    </row>
    <row r="81" spans="2:9" s="201" customFormat="1" x14ac:dyDescent="0.25">
      <c r="B81" s="217"/>
      <c r="C81" s="409" t="s">
        <v>2</v>
      </c>
      <c r="D81" s="394">
        <v>0</v>
      </c>
      <c r="E81" s="413">
        <f>$D81*E$92</f>
        <v>0</v>
      </c>
      <c r="F81" s="203"/>
      <c r="G81" s="250">
        <f>D81*E92</f>
        <v>0</v>
      </c>
    </row>
    <row r="82" spans="2:9" s="201" customFormat="1" x14ac:dyDescent="0.25">
      <c r="B82" s="217"/>
      <c r="C82" s="409" t="s">
        <v>3</v>
      </c>
      <c r="D82" s="394">
        <v>0</v>
      </c>
      <c r="E82" s="413">
        <f>$D82*E$92</f>
        <v>0</v>
      </c>
      <c r="F82" s="203"/>
      <c r="G82" s="250">
        <f>D82*E92</f>
        <v>0</v>
      </c>
    </row>
    <row r="83" spans="2:9" s="201" customFormat="1" x14ac:dyDescent="0.35">
      <c r="B83" s="539" t="s">
        <v>230</v>
      </c>
      <c r="C83" s="540"/>
      <c r="D83" s="387">
        <f>SUM(D80:D82)</f>
        <v>0</v>
      </c>
      <c r="E83" s="414">
        <f>D83*E92</f>
        <v>0</v>
      </c>
      <c r="F83" s="203"/>
      <c r="G83" s="259"/>
      <c r="I83" s="266"/>
    </row>
    <row r="84" spans="2:9" s="201" customFormat="1" x14ac:dyDescent="0.35">
      <c r="B84" s="541" t="s">
        <v>231</v>
      </c>
      <c r="C84" s="527"/>
      <c r="D84" s="224"/>
      <c r="E84" s="421"/>
      <c r="F84" s="203"/>
      <c r="G84" s="267"/>
    </row>
    <row r="85" spans="2:9" s="201" customFormat="1" ht="33.75" customHeight="1" x14ac:dyDescent="0.35">
      <c r="B85" s="520" t="s">
        <v>232</v>
      </c>
      <c r="C85" s="521"/>
      <c r="D85" s="521"/>
      <c r="E85" s="553"/>
      <c r="F85" s="554"/>
      <c r="G85" s="269"/>
    </row>
    <row r="86" spans="2:9" s="201" customFormat="1" ht="32.25" customHeight="1" x14ac:dyDescent="0.35">
      <c r="B86" s="520" t="s">
        <v>233</v>
      </c>
      <c r="C86" s="521"/>
      <c r="D86" s="521"/>
      <c r="E86" s="553"/>
      <c r="F86" s="554"/>
      <c r="G86" s="259"/>
    </row>
    <row r="87" spans="2:9" s="201" customFormat="1" ht="29.25" customHeight="1" x14ac:dyDescent="0.35">
      <c r="B87" s="520" t="s">
        <v>234</v>
      </c>
      <c r="C87" s="521"/>
      <c r="D87" s="521"/>
      <c r="E87" s="553"/>
      <c r="F87" s="554"/>
      <c r="G87" s="259"/>
    </row>
    <row r="88" spans="2:9" s="201" customFormat="1" ht="23.25" customHeight="1" x14ac:dyDescent="0.35">
      <c r="B88" s="520" t="s">
        <v>235</v>
      </c>
      <c r="C88" s="521"/>
      <c r="D88" s="521"/>
      <c r="E88" s="553"/>
      <c r="F88" s="554"/>
      <c r="G88" s="259"/>
    </row>
    <row r="89" spans="2:9" s="201" customFormat="1" ht="24.75" customHeight="1" x14ac:dyDescent="0.35">
      <c r="B89" s="520" t="s">
        <v>236</v>
      </c>
      <c r="C89" s="521"/>
      <c r="D89" s="521"/>
      <c r="E89" s="553"/>
      <c r="F89" s="554"/>
      <c r="G89" s="259"/>
    </row>
    <row r="90" spans="2:9" s="201" customFormat="1" ht="27.75" customHeight="1" x14ac:dyDescent="0.35">
      <c r="B90" s="531" t="s">
        <v>237</v>
      </c>
      <c r="C90" s="532"/>
      <c r="D90" s="532"/>
      <c r="E90" s="555"/>
      <c r="F90" s="554"/>
      <c r="G90" s="259"/>
    </row>
    <row r="91" spans="2:9" s="201" customFormat="1" ht="33" customHeight="1" x14ac:dyDescent="0.35">
      <c r="B91" s="534" t="s">
        <v>238</v>
      </c>
      <c r="C91" s="535"/>
      <c r="D91" s="535"/>
      <c r="E91" s="549"/>
      <c r="F91" s="554"/>
      <c r="G91" s="259"/>
    </row>
    <row r="92" spans="2:9" s="201" customFormat="1" x14ac:dyDescent="0.25">
      <c r="B92" s="509" t="s">
        <v>239</v>
      </c>
      <c r="C92" s="510"/>
      <c r="D92" s="271"/>
      <c r="E92" s="411">
        <f>(E68+E77)/(1-D83)</f>
        <v>0</v>
      </c>
      <c r="F92" s="203"/>
      <c r="G92" s="250">
        <f>G68+G77+G80+G81+G82</f>
        <v>0</v>
      </c>
    </row>
    <row r="93" spans="2:9" s="201" customFormat="1" ht="26.25" thickBot="1" x14ac:dyDescent="0.4">
      <c r="B93" s="550" t="s">
        <v>240</v>
      </c>
      <c r="C93" s="551"/>
      <c r="D93" s="552"/>
      <c r="E93" s="412" t="e">
        <f>(E83+E77)/E68</f>
        <v>#DIV/0!</v>
      </c>
      <c r="G93" s="272" t="e">
        <f>E93*E68</f>
        <v>#DIV/0!</v>
      </c>
      <c r="H93" s="273">
        <f>E83+E77</f>
        <v>0</v>
      </c>
    </row>
    <row r="94" spans="2:9" s="201" customFormat="1" x14ac:dyDescent="0.35">
      <c r="B94" s="197"/>
      <c r="C94" s="198"/>
      <c r="D94" s="274"/>
      <c r="E94" s="200"/>
      <c r="G94" s="202"/>
    </row>
    <row r="95" spans="2:9" s="201" customFormat="1" x14ac:dyDescent="0.35">
      <c r="B95" s="197"/>
      <c r="C95" s="198"/>
      <c r="D95" s="199"/>
      <c r="E95" s="200"/>
      <c r="G95" s="202"/>
    </row>
    <row r="96" spans="2:9" s="201" customFormat="1" x14ac:dyDescent="0.35">
      <c r="B96" s="197"/>
      <c r="C96" s="198"/>
      <c r="D96" s="199"/>
      <c r="E96" s="200"/>
      <c r="G96" s="202"/>
    </row>
    <row r="97" spans="2:7" s="201" customFormat="1" x14ac:dyDescent="0.35">
      <c r="B97" s="197"/>
      <c r="C97" s="198"/>
      <c r="D97" s="275"/>
      <c r="E97" s="200"/>
      <c r="G97" s="202"/>
    </row>
  </sheetData>
  <sheetProtection algorithmName="SHA-512" hashValue="LQ393ZnzFEp7uL0NcLHrLgo7ejyln/RJtq71yFxbNoerqGT7pQFLLDnWiE+eNUl+c+QZaKEeAHex98ROdrLexQ==" saltValue="qN6tf6j45lx2EJfqLuPTCA==" spinCount="100000" sheet="1" objects="1" scenarios="1"/>
  <mergeCells count="25">
    <mergeCell ref="B78:C78"/>
    <mergeCell ref="B2:E2"/>
    <mergeCell ref="H33:K33"/>
    <mergeCell ref="G46:G47"/>
    <mergeCell ref="B66:C66"/>
    <mergeCell ref="B67:C67"/>
    <mergeCell ref="B68:C68"/>
    <mergeCell ref="C69:E69"/>
    <mergeCell ref="C70:E70"/>
    <mergeCell ref="C71:E71"/>
    <mergeCell ref="B74:E74"/>
    <mergeCell ref="B77:C77"/>
    <mergeCell ref="B91:E91"/>
    <mergeCell ref="B92:C92"/>
    <mergeCell ref="B93:D93"/>
    <mergeCell ref="H80:I80"/>
    <mergeCell ref="B83:C83"/>
    <mergeCell ref="B84:C84"/>
    <mergeCell ref="B85:E85"/>
    <mergeCell ref="F85:F91"/>
    <mergeCell ref="B86:E86"/>
    <mergeCell ref="B87:E87"/>
    <mergeCell ref="B88:E88"/>
    <mergeCell ref="B89:E89"/>
    <mergeCell ref="B90:E90"/>
  </mergeCells>
  <printOptions horizontalCentered="1" verticalCentered="1"/>
  <pageMargins left="0.39370078740157483" right="0.39370078740157483" top="0.39370078740157483" bottom="0.39370078740157483" header="0" footer="0"/>
  <pageSetup paperSize="9" scale="34" orientation="portrait" r:id="rId1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IT41"/>
  <sheetViews>
    <sheetView zoomScale="90" zoomScaleNormal="90" zoomScaleSheetLayoutView="90" workbookViewId="0">
      <selection activeCell="M11" sqref="M11"/>
    </sheetView>
  </sheetViews>
  <sheetFormatPr defaultColWidth="9.7109375" defaultRowHeight="14.25" x14ac:dyDescent="0.25"/>
  <cols>
    <col min="1" max="1" width="9.7109375" style="139"/>
    <col min="2" max="2" width="5.7109375" style="137" customWidth="1"/>
    <col min="3" max="3" width="55.7109375" style="137" customWidth="1"/>
    <col min="4" max="4" width="7.85546875" style="137" customWidth="1"/>
    <col min="5" max="5" width="8.7109375" style="137" customWidth="1"/>
    <col min="6" max="6" width="19" style="137" customWidth="1"/>
    <col min="7" max="7" width="17.28515625" style="137" customWidth="1"/>
    <col min="8" max="8" width="19.140625" style="137" customWidth="1"/>
    <col min="9" max="9" width="23.5703125" style="137" customWidth="1"/>
    <col min="10" max="10" width="15.42578125" style="137" customWidth="1"/>
    <col min="11" max="11" width="17.7109375" style="137" customWidth="1"/>
    <col min="12" max="12" width="24.28515625" style="138" customWidth="1"/>
    <col min="13" max="13" width="36.28515625" style="137" customWidth="1"/>
    <col min="14" max="14" width="16.28515625" style="137" customWidth="1"/>
    <col min="15" max="247" width="9.7109375" style="137"/>
    <col min="248" max="16384" width="9.7109375" style="139"/>
  </cols>
  <sheetData>
    <row r="2" spans="2:254" s="137" customFormat="1" x14ac:dyDescent="0.25">
      <c r="L2" s="138"/>
      <c r="IN2" s="139"/>
      <c r="IO2" s="139"/>
      <c r="IP2" s="139"/>
      <c r="IQ2" s="139"/>
      <c r="IR2" s="139"/>
      <c r="IS2" s="139"/>
      <c r="IT2" s="139"/>
    </row>
    <row r="3" spans="2:254" s="145" customFormat="1" ht="32.25" customHeight="1" x14ac:dyDescent="0.25">
      <c r="B3" s="579" t="s">
        <v>268</v>
      </c>
      <c r="C3" s="580"/>
      <c r="D3" s="580"/>
      <c r="E3" s="580"/>
      <c r="F3" s="580"/>
      <c r="G3" s="580"/>
      <c r="H3" s="581"/>
      <c r="I3" s="582" t="s">
        <v>269</v>
      </c>
      <c r="J3" s="583"/>
      <c r="K3" s="142" t="s">
        <v>270</v>
      </c>
      <c r="L3" s="14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</row>
    <row r="4" spans="2:254" s="145" customFormat="1" ht="30.75" thickBot="1" x14ac:dyDescent="0.3">
      <c r="B4" s="146" t="s">
        <v>84</v>
      </c>
      <c r="C4" s="146" t="s">
        <v>271</v>
      </c>
      <c r="D4" s="146" t="s">
        <v>87</v>
      </c>
      <c r="E4" s="146" t="s">
        <v>272</v>
      </c>
      <c r="F4" s="147" t="s">
        <v>273</v>
      </c>
      <c r="G4" s="148" t="s">
        <v>274</v>
      </c>
      <c r="H4" s="148" t="s">
        <v>61</v>
      </c>
      <c r="I4" s="584" t="s">
        <v>275</v>
      </c>
      <c r="J4" s="584" t="s">
        <v>276</v>
      </c>
      <c r="K4" s="587" t="s">
        <v>277</v>
      </c>
      <c r="L4" s="574" t="s">
        <v>278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</row>
    <row r="5" spans="2:254" s="144" customFormat="1" ht="22.5" customHeight="1" thickBot="1" x14ac:dyDescent="0.3">
      <c r="B5" s="575" t="s">
        <v>331</v>
      </c>
      <c r="C5" s="576"/>
      <c r="D5" s="576"/>
      <c r="E5" s="576"/>
      <c r="F5" s="576"/>
      <c r="G5" s="149" t="s">
        <v>6</v>
      </c>
      <c r="H5" s="150">
        <f>ROUND(SUM(G6:G9),2)</f>
        <v>0</v>
      </c>
      <c r="I5" s="585"/>
      <c r="J5" s="586"/>
      <c r="K5" s="588"/>
      <c r="L5" s="574"/>
      <c r="IN5" s="145"/>
      <c r="IO5" s="145"/>
      <c r="IP5" s="145"/>
      <c r="IQ5" s="145"/>
      <c r="IR5" s="145"/>
      <c r="IS5" s="145"/>
      <c r="IT5" s="145"/>
    </row>
    <row r="6" spans="2:254" s="145" customFormat="1" ht="21" customHeight="1" x14ac:dyDescent="0.25">
      <c r="B6" s="151" t="s">
        <v>279</v>
      </c>
      <c r="C6" s="152" t="s">
        <v>305</v>
      </c>
      <c r="D6" s="151" t="s">
        <v>5</v>
      </c>
      <c r="E6" s="140">
        <v>4</v>
      </c>
      <c r="F6" s="153">
        <f>Garçom!E68</f>
        <v>0</v>
      </c>
      <c r="G6" s="153">
        <f t="shared" ref="G6:G9" si="0">ROUND(E6*F6,2)</f>
        <v>0</v>
      </c>
      <c r="H6" s="154"/>
      <c r="I6" s="155">
        <f>ROUND((G6+G6*$E$13+G6*$E$14+G6*$E$13*$E$14)/(1-$E$15),2)</f>
        <v>0</v>
      </c>
      <c r="J6" s="155">
        <f t="shared" ref="J6:J10" si="1">I6*12</f>
        <v>0</v>
      </c>
      <c r="K6" s="156" t="e">
        <f>J6/J$25</f>
        <v>#DIV/0!</v>
      </c>
      <c r="L6" s="153">
        <f>(F6+F6*$E$13+F6*$E$14+F6*$E$13*$E$14)/(1-$E$15)</f>
        <v>0</v>
      </c>
      <c r="M6" s="143"/>
      <c r="N6" s="143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</row>
    <row r="7" spans="2:254" s="145" customFormat="1" ht="21" customHeight="1" thickBot="1" x14ac:dyDescent="0.3">
      <c r="B7" s="151" t="s">
        <v>280</v>
      </c>
      <c r="C7" s="152" t="s">
        <v>306</v>
      </c>
      <c r="D7" s="151" t="s">
        <v>5</v>
      </c>
      <c r="E7" s="141">
        <v>2</v>
      </c>
      <c r="F7" s="153">
        <f>Copeira!E67</f>
        <v>0</v>
      </c>
      <c r="G7" s="153">
        <f t="shared" si="0"/>
        <v>0</v>
      </c>
      <c r="H7" s="154"/>
      <c r="I7" s="157">
        <f>TRUNC((G7+G7*$E$13+G7*$E$14+G7*$E$13*$E$14)/(1-$E$15),2)</f>
        <v>0</v>
      </c>
      <c r="J7" s="157">
        <f t="shared" si="1"/>
        <v>0</v>
      </c>
      <c r="K7" s="156" t="e">
        <f t="shared" ref="K7:K9" si="2">J7/J$25</f>
        <v>#DIV/0!</v>
      </c>
      <c r="L7" s="153">
        <f>(F7+F7*$E$13+F7*$E$14+F7*$E$13*$E$14)/(1-$E$15)</f>
        <v>0</v>
      </c>
      <c r="M7" s="143"/>
      <c r="N7" s="143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</row>
    <row r="8" spans="2:254" s="145" customFormat="1" ht="21" customHeight="1" thickBot="1" x14ac:dyDescent="0.3">
      <c r="B8" s="151" t="s">
        <v>281</v>
      </c>
      <c r="C8" s="152" t="s">
        <v>313</v>
      </c>
      <c r="D8" s="151" t="s">
        <v>5</v>
      </c>
      <c r="E8" s="141">
        <v>1</v>
      </c>
      <c r="F8" s="153">
        <f>'Encarregado(a)'!E68</f>
        <v>0</v>
      </c>
      <c r="G8" s="153">
        <f t="shared" si="0"/>
        <v>0</v>
      </c>
      <c r="H8" s="158"/>
      <c r="I8" s="157">
        <f>TRUNC((G8+G8*$E$13+G8*$E$14+G8*$E$13*$E$14)/(1-$E$15),2)</f>
        <v>0</v>
      </c>
      <c r="J8" s="157">
        <f t="shared" si="1"/>
        <v>0</v>
      </c>
      <c r="K8" s="156" t="e">
        <f t="shared" si="2"/>
        <v>#DIV/0!</v>
      </c>
      <c r="L8" s="153">
        <f>(F8+F8*$E$13+F8*$E$14+F8*$E$13*$E$14)/(1-$E$15)</f>
        <v>0</v>
      </c>
      <c r="M8" s="143"/>
      <c r="N8" s="143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</row>
    <row r="9" spans="2:254" s="145" customFormat="1" ht="21" customHeight="1" thickBot="1" x14ac:dyDescent="0.3">
      <c r="B9" s="159" t="s">
        <v>283</v>
      </c>
      <c r="C9" s="160" t="s">
        <v>282</v>
      </c>
      <c r="D9" s="159" t="s">
        <v>5</v>
      </c>
      <c r="E9" s="161">
        <v>0</v>
      </c>
      <c r="F9" s="162">
        <v>0</v>
      </c>
      <c r="G9" s="163">
        <f t="shared" si="0"/>
        <v>0</v>
      </c>
      <c r="H9" s="158"/>
      <c r="I9" s="164">
        <f>ROUND((G9+G9*$E$13+G9*$E$14+G9*$E$13*$E$14)/(1-$E$15),2)</f>
        <v>0</v>
      </c>
      <c r="J9" s="165">
        <f t="shared" si="1"/>
        <v>0</v>
      </c>
      <c r="K9" s="156" t="e">
        <f t="shared" si="2"/>
        <v>#DIV/0!</v>
      </c>
      <c r="L9" s="143"/>
      <c r="M9" s="143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  <c r="FL9" s="144"/>
      <c r="FM9" s="144"/>
      <c r="FN9" s="144"/>
      <c r="FO9" s="144"/>
      <c r="FP9" s="144"/>
      <c r="FQ9" s="144"/>
      <c r="FR9" s="144"/>
      <c r="FS9" s="144"/>
      <c r="FT9" s="144"/>
      <c r="FU9" s="144"/>
      <c r="FV9" s="144"/>
      <c r="FW9" s="144"/>
      <c r="FX9" s="144"/>
      <c r="FY9" s="144"/>
      <c r="FZ9" s="144"/>
      <c r="GA9" s="144"/>
      <c r="GB9" s="144"/>
      <c r="GC9" s="144"/>
      <c r="GD9" s="144"/>
      <c r="GE9" s="144"/>
      <c r="GF9" s="144"/>
      <c r="GG9" s="144"/>
      <c r="GH9" s="144"/>
      <c r="GI9" s="144"/>
      <c r="GJ9" s="144"/>
      <c r="GK9" s="144"/>
      <c r="GL9" s="144"/>
      <c r="GM9" s="144"/>
      <c r="GN9" s="144"/>
      <c r="GO9" s="144"/>
      <c r="GP9" s="144"/>
      <c r="GQ9" s="144"/>
      <c r="GR9" s="144"/>
      <c r="GS9" s="144"/>
      <c r="GT9" s="144"/>
      <c r="GU9" s="144"/>
      <c r="GV9" s="144"/>
      <c r="GW9" s="144"/>
      <c r="GX9" s="144"/>
      <c r="GY9" s="144"/>
      <c r="GZ9" s="144"/>
      <c r="HA9" s="144"/>
      <c r="HB9" s="144"/>
      <c r="HC9" s="144"/>
      <c r="HD9" s="144"/>
      <c r="HE9" s="144"/>
      <c r="HF9" s="144"/>
      <c r="HG9" s="144"/>
      <c r="HH9" s="144"/>
      <c r="HI9" s="144"/>
      <c r="HJ9" s="144"/>
      <c r="HK9" s="144"/>
      <c r="HL9" s="144"/>
      <c r="HM9" s="144"/>
      <c r="HN9" s="144"/>
      <c r="HO9" s="144"/>
      <c r="HP9" s="144"/>
      <c r="HQ9" s="144"/>
      <c r="HR9" s="144"/>
      <c r="HS9" s="144"/>
      <c r="HT9" s="144"/>
      <c r="HU9" s="144"/>
      <c r="HV9" s="144"/>
      <c r="HW9" s="144"/>
      <c r="HX9" s="144"/>
      <c r="HY9" s="144"/>
      <c r="HZ9" s="144"/>
      <c r="IA9" s="144"/>
      <c r="IB9" s="144"/>
      <c r="IC9" s="144"/>
      <c r="ID9" s="144"/>
      <c r="IE9" s="144"/>
      <c r="IF9" s="144"/>
      <c r="IG9" s="144"/>
      <c r="IH9" s="144"/>
      <c r="II9" s="144"/>
      <c r="IJ9" s="144"/>
      <c r="IK9" s="144"/>
      <c r="IL9" s="144"/>
      <c r="IM9" s="144"/>
    </row>
    <row r="10" spans="2:254" s="145" customFormat="1" ht="21" customHeight="1" thickBot="1" x14ac:dyDescent="0.3">
      <c r="B10" s="577" t="s">
        <v>324</v>
      </c>
      <c r="C10" s="578"/>
      <c r="D10" s="578"/>
      <c r="E10" s="578"/>
      <c r="F10" s="578"/>
      <c r="G10" s="166" t="s">
        <v>7</v>
      </c>
      <c r="H10" s="167">
        <f>G11</f>
        <v>0</v>
      </c>
      <c r="I10" s="168">
        <f>ROUND((H10+H10*$E$13+H10*$E$14+H10*$E$13*$E$14)/(1-$E$15),2)</f>
        <v>0</v>
      </c>
      <c r="J10" s="169">
        <f t="shared" si="1"/>
        <v>0</v>
      </c>
      <c r="K10" s="170" t="e">
        <f>J10/$J$25</f>
        <v>#DIV/0!</v>
      </c>
      <c r="L10" s="143"/>
      <c r="M10" s="143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4"/>
      <c r="DK10" s="144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DW10" s="144"/>
      <c r="DX10" s="144"/>
      <c r="DY10" s="144"/>
      <c r="DZ10" s="144"/>
      <c r="EA10" s="144"/>
      <c r="EB10" s="144"/>
      <c r="EC10" s="144"/>
      <c r="ED10" s="144"/>
      <c r="EE10" s="144"/>
      <c r="EF10" s="144"/>
      <c r="EG10" s="144"/>
      <c r="EH10" s="144"/>
      <c r="EI10" s="144"/>
      <c r="EJ10" s="144"/>
      <c r="EK10" s="144"/>
      <c r="EL10" s="144"/>
      <c r="EM10" s="144"/>
      <c r="EN10" s="144"/>
      <c r="EO10" s="144"/>
      <c r="EP10" s="144"/>
      <c r="EQ10" s="144"/>
      <c r="ER10" s="144"/>
      <c r="ES10" s="144"/>
      <c r="ET10" s="144"/>
      <c r="EU10" s="144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  <c r="FT10" s="144"/>
      <c r="FU10" s="144"/>
      <c r="FV10" s="144"/>
      <c r="FW10" s="144"/>
      <c r="FX10" s="144"/>
      <c r="FY10" s="144"/>
      <c r="FZ10" s="144"/>
      <c r="GA10" s="144"/>
      <c r="GB10" s="144"/>
      <c r="GC10" s="144"/>
      <c r="GD10" s="144"/>
      <c r="GE10" s="144"/>
      <c r="GF10" s="144"/>
      <c r="GG10" s="144"/>
      <c r="GH10" s="144"/>
      <c r="GI10" s="144"/>
      <c r="GJ10" s="144"/>
      <c r="GK10" s="144"/>
      <c r="GL10" s="144"/>
      <c r="GM10" s="144"/>
      <c r="GN10" s="144"/>
      <c r="GO10" s="144"/>
      <c r="GP10" s="144"/>
      <c r="GQ10" s="144"/>
      <c r="GR10" s="144"/>
      <c r="GS10" s="144"/>
      <c r="GT10" s="144"/>
      <c r="GU10" s="144"/>
      <c r="GV10" s="144"/>
      <c r="GW10" s="144"/>
      <c r="GX10" s="144"/>
      <c r="GY10" s="144"/>
      <c r="GZ10" s="144"/>
      <c r="HA10" s="144"/>
      <c r="HB10" s="144"/>
      <c r="HC10" s="144"/>
      <c r="HD10" s="144"/>
      <c r="HE10" s="144"/>
      <c r="HF10" s="144"/>
      <c r="HG10" s="144"/>
      <c r="HH10" s="144"/>
      <c r="HI10" s="144"/>
      <c r="HJ10" s="144"/>
      <c r="HK10" s="144"/>
      <c r="HL10" s="144"/>
      <c r="HM10" s="144"/>
      <c r="HN10" s="144"/>
      <c r="HO10" s="144"/>
      <c r="HP10" s="144"/>
      <c r="HQ10" s="144"/>
      <c r="HR10" s="144"/>
      <c r="HS10" s="144"/>
      <c r="HT10" s="144"/>
      <c r="HU10" s="144"/>
      <c r="HV10" s="144"/>
      <c r="HW10" s="144"/>
      <c r="HX10" s="144"/>
      <c r="HY10" s="144"/>
      <c r="HZ10" s="144"/>
      <c r="IA10" s="144"/>
      <c r="IB10" s="144"/>
      <c r="IC10" s="144"/>
      <c r="ID10" s="144"/>
      <c r="IE10" s="144"/>
      <c r="IF10" s="144"/>
      <c r="IG10" s="144"/>
      <c r="IH10" s="144"/>
      <c r="II10" s="144"/>
      <c r="IJ10" s="144"/>
      <c r="IK10" s="144"/>
      <c r="IL10" s="144"/>
      <c r="IM10" s="144"/>
    </row>
    <row r="11" spans="2:254" s="145" customFormat="1" ht="24" customHeight="1" x14ac:dyDescent="0.25">
      <c r="B11" s="159" t="s">
        <v>332</v>
      </c>
      <c r="C11" s="160" t="s">
        <v>333</v>
      </c>
      <c r="D11" s="159" t="s">
        <v>5</v>
      </c>
      <c r="E11" s="161">
        <v>0</v>
      </c>
      <c r="F11" s="162">
        <v>0</v>
      </c>
      <c r="G11" s="171">
        <f>ROUND(E11*F11,2)</f>
        <v>0</v>
      </c>
      <c r="H11" s="172"/>
      <c r="I11" s="164"/>
      <c r="J11" s="165"/>
      <c r="K11" s="156"/>
      <c r="L11" s="143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4"/>
      <c r="DZ11" s="144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4"/>
      <c r="ER11" s="144"/>
      <c r="ES11" s="144"/>
      <c r="ET11" s="144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4"/>
      <c r="FK11" s="144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4"/>
      <c r="GF11" s="144"/>
      <c r="GG11" s="144"/>
      <c r="GH11" s="144"/>
      <c r="GI11" s="144"/>
      <c r="GJ11" s="144"/>
      <c r="GK11" s="144"/>
      <c r="GL11" s="144"/>
      <c r="GM11" s="144"/>
      <c r="GN11" s="144"/>
      <c r="GO11" s="144"/>
      <c r="GP11" s="144"/>
      <c r="GQ11" s="144"/>
      <c r="GR11" s="144"/>
      <c r="GS11" s="144"/>
      <c r="GT11" s="144"/>
      <c r="GU11" s="144"/>
      <c r="GV11" s="144"/>
      <c r="GW11" s="144"/>
      <c r="GX11" s="144"/>
      <c r="GY11" s="144"/>
      <c r="GZ11" s="144"/>
      <c r="HA11" s="144"/>
      <c r="HB11" s="144"/>
      <c r="HC11" s="144"/>
      <c r="HD11" s="144"/>
      <c r="HE11" s="144"/>
      <c r="HF11" s="144"/>
      <c r="HG11" s="144"/>
      <c r="HH11" s="144"/>
      <c r="HI11" s="144"/>
      <c r="HJ11" s="144"/>
      <c r="HK11" s="144"/>
      <c r="HL11" s="144"/>
      <c r="HM11" s="144"/>
      <c r="HN11" s="144"/>
      <c r="HO11" s="144"/>
      <c r="HP11" s="144"/>
      <c r="HQ11" s="144"/>
      <c r="HR11" s="144"/>
      <c r="HS11" s="144"/>
      <c r="HT11" s="144"/>
      <c r="HU11" s="144"/>
      <c r="HV11" s="144"/>
      <c r="HW11" s="144"/>
      <c r="HX11" s="144"/>
      <c r="HY11" s="144"/>
      <c r="HZ11" s="144"/>
      <c r="IA11" s="144"/>
      <c r="IB11" s="144"/>
      <c r="IC11" s="144"/>
      <c r="ID11" s="144"/>
      <c r="IE11" s="144"/>
      <c r="IF11" s="144"/>
      <c r="IG11" s="144"/>
      <c r="IH11" s="144"/>
      <c r="II11" s="144"/>
      <c r="IJ11" s="144"/>
      <c r="IK11" s="144"/>
      <c r="IL11" s="144"/>
      <c r="IM11" s="144"/>
    </row>
    <row r="12" spans="2:254" s="144" customFormat="1" ht="25.9" customHeight="1" thickBot="1" x14ac:dyDescent="0.3">
      <c r="B12" s="173">
        <v>2</v>
      </c>
      <c r="C12" s="597" t="s">
        <v>284</v>
      </c>
      <c r="D12" s="598"/>
      <c r="E12" s="598"/>
      <c r="F12" s="598"/>
      <c r="G12" s="174"/>
      <c r="H12" s="175">
        <f>SUM(F13:F14)+F15</f>
        <v>0</v>
      </c>
      <c r="I12" s="562"/>
      <c r="J12" s="595"/>
      <c r="K12" s="573"/>
      <c r="L12" s="143"/>
      <c r="IN12" s="145"/>
      <c r="IO12" s="145"/>
      <c r="IP12" s="145"/>
      <c r="IQ12" s="145"/>
      <c r="IR12" s="145"/>
      <c r="IS12" s="145"/>
      <c r="IT12" s="145"/>
    </row>
    <row r="13" spans="2:254" s="144" customFormat="1" ht="17.25" customHeight="1" thickBot="1" x14ac:dyDescent="0.3">
      <c r="B13" s="151" t="s">
        <v>285</v>
      </c>
      <c r="C13" s="151" t="s">
        <v>286</v>
      </c>
      <c r="D13" s="151"/>
      <c r="E13" s="354">
        <f>'Encarregado(a)'!D75</f>
        <v>0</v>
      </c>
      <c r="F13" s="176">
        <f>(E13*(H5+H10))</f>
        <v>0</v>
      </c>
      <c r="G13" s="177" t="s">
        <v>8</v>
      </c>
      <c r="H13" s="178"/>
      <c r="I13" s="562"/>
      <c r="J13" s="595"/>
      <c r="K13" s="573"/>
      <c r="L13" s="143"/>
      <c r="IN13" s="145"/>
      <c r="IO13" s="145"/>
      <c r="IP13" s="145"/>
      <c r="IQ13" s="145"/>
      <c r="IR13" s="145"/>
      <c r="IS13" s="145"/>
      <c r="IT13" s="145"/>
    </row>
    <row r="14" spans="2:254" s="144" customFormat="1" ht="17.25" customHeight="1" thickBot="1" x14ac:dyDescent="0.3">
      <c r="B14" s="151" t="s">
        <v>287</v>
      </c>
      <c r="C14" s="144" t="s">
        <v>223</v>
      </c>
      <c r="D14" s="179"/>
      <c r="E14" s="355">
        <f>'Encarregado(a)'!D76</f>
        <v>0</v>
      </c>
      <c r="F14" s="176">
        <f>(E14*(H5+H10+F13))</f>
        <v>0</v>
      </c>
      <c r="G14" s="177" t="s">
        <v>9</v>
      </c>
      <c r="H14" s="178"/>
      <c r="I14" s="562"/>
      <c r="J14" s="595"/>
      <c r="K14" s="573"/>
      <c r="L14" s="143"/>
      <c r="IN14" s="145"/>
      <c r="IO14" s="145"/>
      <c r="IP14" s="145"/>
      <c r="IQ14" s="145"/>
      <c r="IR14" s="145"/>
      <c r="IS14" s="145"/>
      <c r="IT14" s="145"/>
    </row>
    <row r="15" spans="2:254" s="144" customFormat="1" ht="17.25" customHeight="1" thickBot="1" x14ac:dyDescent="0.3">
      <c r="B15" s="180" t="s">
        <v>288</v>
      </c>
      <c r="C15" s="181" t="s">
        <v>289</v>
      </c>
      <c r="D15" s="166" t="s">
        <v>290</v>
      </c>
      <c r="E15" s="182">
        <f>SUM(D16:D18)</f>
        <v>0</v>
      </c>
      <c r="F15" s="183">
        <f>ROUND(E15*H24,2)</f>
        <v>0</v>
      </c>
      <c r="G15" s="184" t="s">
        <v>291</v>
      </c>
      <c r="H15" s="185"/>
      <c r="I15" s="562"/>
      <c r="J15" s="595"/>
      <c r="K15" s="573"/>
      <c r="L15" s="143"/>
      <c r="IN15" s="145"/>
      <c r="IO15" s="145"/>
      <c r="IP15" s="145"/>
      <c r="IQ15" s="145"/>
      <c r="IR15" s="145"/>
      <c r="IS15" s="145"/>
      <c r="IT15" s="145"/>
    </row>
    <row r="16" spans="2:254" s="144" customFormat="1" ht="17.25" customHeight="1" x14ac:dyDescent="0.25">
      <c r="B16" s="151"/>
      <c r="C16" s="151" t="s">
        <v>228</v>
      </c>
      <c r="D16" s="356">
        <f>'Encarregado(a)'!D80</f>
        <v>0</v>
      </c>
      <c r="E16" s="186"/>
      <c r="F16" s="151"/>
      <c r="G16" s="151"/>
      <c r="H16" s="153"/>
      <c r="I16" s="562"/>
      <c r="J16" s="595"/>
      <c r="K16" s="573"/>
      <c r="L16" s="143"/>
      <c r="IN16" s="145"/>
      <c r="IO16" s="145"/>
      <c r="IP16" s="145"/>
      <c r="IQ16" s="145"/>
      <c r="IR16" s="145"/>
      <c r="IS16" s="145"/>
      <c r="IT16" s="145"/>
    </row>
    <row r="17" spans="2:254" s="144" customFormat="1" ht="17.25" customHeight="1" x14ac:dyDescent="0.25">
      <c r="B17" s="151"/>
      <c r="C17" s="151" t="s">
        <v>3</v>
      </c>
      <c r="D17" s="357">
        <f>'Encarregado(a)'!D82</f>
        <v>0</v>
      </c>
      <c r="E17" s="151"/>
      <c r="F17" s="151"/>
      <c r="G17" s="151"/>
      <c r="H17" s="153"/>
      <c r="I17" s="562"/>
      <c r="J17" s="595"/>
      <c r="K17" s="573"/>
      <c r="L17" s="143"/>
      <c r="IN17" s="145"/>
      <c r="IO17" s="145"/>
      <c r="IP17" s="145"/>
      <c r="IQ17" s="145"/>
      <c r="IR17" s="145"/>
      <c r="IS17" s="145"/>
      <c r="IT17" s="145"/>
    </row>
    <row r="18" spans="2:254" s="144" customFormat="1" ht="17.25" customHeight="1" thickBot="1" x14ac:dyDescent="0.3">
      <c r="B18" s="179"/>
      <c r="C18" s="179" t="s">
        <v>2</v>
      </c>
      <c r="D18" s="358">
        <f>'Encarregado(a)'!D81</f>
        <v>0</v>
      </c>
      <c r="E18" s="179"/>
      <c r="F18" s="179"/>
      <c r="G18" s="179"/>
      <c r="H18" s="163"/>
      <c r="I18" s="562"/>
      <c r="J18" s="595"/>
      <c r="K18" s="573"/>
      <c r="L18" s="143"/>
      <c r="IN18" s="145"/>
      <c r="IO18" s="145"/>
      <c r="IP18" s="145"/>
      <c r="IQ18" s="145"/>
      <c r="IR18" s="145"/>
      <c r="IS18" s="145"/>
      <c r="IT18" s="145"/>
    </row>
    <row r="19" spans="2:254" s="144" customFormat="1" ht="17.25" customHeight="1" thickBot="1" x14ac:dyDescent="0.3">
      <c r="B19" s="599" t="s">
        <v>292</v>
      </c>
      <c r="C19" s="600"/>
      <c r="D19" s="600"/>
      <c r="E19" s="600"/>
      <c r="F19" s="600"/>
      <c r="G19" s="600"/>
      <c r="H19" s="601"/>
      <c r="I19" s="562"/>
      <c r="J19" s="595"/>
      <c r="K19" s="573"/>
      <c r="L19" s="143"/>
      <c r="IN19" s="145"/>
      <c r="IO19" s="145"/>
      <c r="IP19" s="145"/>
      <c r="IQ19" s="145"/>
      <c r="IR19" s="145"/>
      <c r="IS19" s="145"/>
      <c r="IT19" s="145"/>
    </row>
    <row r="20" spans="2:254" s="144" customFormat="1" ht="17.25" customHeight="1" x14ac:dyDescent="0.25">
      <c r="B20" s="602" t="s">
        <v>300</v>
      </c>
      <c r="C20" s="603"/>
      <c r="D20" s="603"/>
      <c r="E20" s="603"/>
      <c r="F20" s="603"/>
      <c r="G20" s="603"/>
      <c r="H20" s="604"/>
      <c r="I20" s="562"/>
      <c r="J20" s="595"/>
      <c r="K20" s="573"/>
      <c r="L20" s="143"/>
      <c r="IN20" s="145"/>
      <c r="IO20" s="145"/>
      <c r="IP20" s="145"/>
      <c r="IQ20" s="145"/>
      <c r="IR20" s="145"/>
      <c r="IS20" s="145"/>
      <c r="IT20" s="145"/>
    </row>
    <row r="21" spans="2:254" s="144" customFormat="1" ht="17.25" customHeight="1" x14ac:dyDescent="0.25">
      <c r="B21" s="564" t="s">
        <v>293</v>
      </c>
      <c r="C21" s="565"/>
      <c r="D21" s="565"/>
      <c r="E21" s="565"/>
      <c r="F21" s="565"/>
      <c r="G21" s="565"/>
      <c r="H21" s="566"/>
      <c r="I21" s="562"/>
      <c r="J21" s="595"/>
      <c r="K21" s="573"/>
      <c r="L21" s="143"/>
      <c r="IN21" s="145"/>
      <c r="IO21" s="145"/>
      <c r="IP21" s="145"/>
      <c r="IQ21" s="145"/>
      <c r="IR21" s="145"/>
      <c r="IS21" s="145"/>
      <c r="IT21" s="145"/>
    </row>
    <row r="22" spans="2:254" s="144" customFormat="1" ht="17.25" customHeight="1" x14ac:dyDescent="0.25">
      <c r="B22" s="564" t="s">
        <v>294</v>
      </c>
      <c r="C22" s="565"/>
      <c r="D22" s="565"/>
      <c r="E22" s="565"/>
      <c r="F22" s="565"/>
      <c r="G22" s="565"/>
      <c r="H22" s="566"/>
      <c r="I22" s="562"/>
      <c r="J22" s="595"/>
      <c r="K22" s="573"/>
      <c r="L22" s="143"/>
      <c r="IN22" s="145"/>
      <c r="IO22" s="145"/>
      <c r="IP22" s="145"/>
      <c r="IQ22" s="145"/>
      <c r="IR22" s="145"/>
      <c r="IS22" s="145"/>
      <c r="IT22" s="145"/>
    </row>
    <row r="23" spans="2:254" s="144" customFormat="1" ht="17.25" customHeight="1" thickBot="1" x14ac:dyDescent="0.3">
      <c r="B23" s="589" t="s">
        <v>295</v>
      </c>
      <c r="C23" s="590"/>
      <c r="D23" s="590"/>
      <c r="E23" s="590"/>
      <c r="F23" s="590"/>
      <c r="G23" s="591"/>
      <c r="H23" s="592"/>
      <c r="I23" s="563"/>
      <c r="J23" s="595"/>
      <c r="K23" s="573"/>
      <c r="L23" s="143"/>
      <c r="IN23" s="145"/>
      <c r="IO23" s="145"/>
      <c r="IP23" s="145"/>
      <c r="IQ23" s="145"/>
      <c r="IR23" s="145"/>
      <c r="IS23" s="145"/>
      <c r="IT23" s="145"/>
    </row>
    <row r="24" spans="2:254" s="144" customFormat="1" ht="17.25" customHeight="1" thickBot="1" x14ac:dyDescent="0.3">
      <c r="B24" s="593" t="s">
        <v>296</v>
      </c>
      <c r="C24" s="594"/>
      <c r="D24" s="594"/>
      <c r="E24" s="594"/>
      <c r="F24" s="594"/>
      <c r="G24" s="187" t="s">
        <v>297</v>
      </c>
      <c r="H24" s="188">
        <f>ROUND((H5+H10+F13+F14)/(1-E15),2)</f>
        <v>0</v>
      </c>
      <c r="I24" s="189">
        <f>ROUND((I10+SUM(I6:I9)),2)</f>
        <v>0</v>
      </c>
      <c r="J24" s="596"/>
      <c r="K24" s="573"/>
      <c r="L24" s="143"/>
      <c r="IN24" s="145"/>
      <c r="IO24" s="145"/>
      <c r="IP24" s="145"/>
      <c r="IQ24" s="145"/>
      <c r="IR24" s="145"/>
      <c r="IS24" s="145"/>
      <c r="IT24" s="145"/>
    </row>
    <row r="25" spans="2:254" s="144" customFormat="1" ht="17.25" customHeight="1" x14ac:dyDescent="0.25">
      <c r="B25" s="571" t="s">
        <v>298</v>
      </c>
      <c r="C25" s="571"/>
      <c r="D25" s="571"/>
      <c r="E25" s="571"/>
      <c r="F25" s="571"/>
      <c r="G25" s="572"/>
      <c r="H25" s="190">
        <f>H24*12</f>
        <v>0</v>
      </c>
      <c r="I25" s="189">
        <f>I24*12</f>
        <v>0</v>
      </c>
      <c r="J25" s="191">
        <f>J10+J7+J6+J9+J8</f>
        <v>0</v>
      </c>
      <c r="K25" s="192" t="e">
        <f>K10+K9+K8+K7+K6</f>
        <v>#DIV/0!</v>
      </c>
      <c r="L25" s="143"/>
      <c r="IN25" s="145"/>
      <c r="IO25" s="145"/>
      <c r="IP25" s="145"/>
      <c r="IQ25" s="145"/>
      <c r="IR25" s="145"/>
      <c r="IS25" s="145"/>
      <c r="IT25" s="145"/>
    </row>
    <row r="26" spans="2:254" s="144" customFormat="1" x14ac:dyDescent="0.25">
      <c r="H26" s="193"/>
      <c r="L26" s="143"/>
      <c r="IN26" s="145"/>
      <c r="IO26" s="145"/>
      <c r="IP26" s="145"/>
      <c r="IQ26" s="145"/>
      <c r="IR26" s="145"/>
      <c r="IS26" s="145"/>
      <c r="IT26" s="145"/>
    </row>
    <row r="27" spans="2:254" s="144" customFormat="1" x14ac:dyDescent="0.25">
      <c r="I27" s="193"/>
      <c r="L27" s="143"/>
      <c r="IN27" s="145"/>
      <c r="IO27" s="145"/>
      <c r="IP27" s="145"/>
      <c r="IQ27" s="145"/>
      <c r="IR27" s="145"/>
      <c r="IS27" s="145"/>
      <c r="IT27" s="145"/>
    </row>
    <row r="28" spans="2:254" s="144" customFormat="1" ht="15" x14ac:dyDescent="0.25">
      <c r="F28" s="194" t="s">
        <v>299</v>
      </c>
      <c r="G28" s="195" t="e">
        <f>H12/(H5+H10)</f>
        <v>#DIV/0!</v>
      </c>
      <c r="H28" s="143"/>
      <c r="L28" s="143"/>
      <c r="IN28" s="145"/>
      <c r="IO28" s="145"/>
      <c r="IP28" s="145"/>
      <c r="IQ28" s="145"/>
      <c r="IR28" s="145"/>
      <c r="IS28" s="145"/>
      <c r="IT28" s="145"/>
    </row>
    <row r="29" spans="2:254" s="145" customFormat="1" x14ac:dyDescent="0.25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3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</row>
    <row r="30" spans="2:254" s="145" customFormat="1" x14ac:dyDescent="0.25">
      <c r="B30" s="144"/>
      <c r="C30" s="144"/>
      <c r="D30" s="567" t="s">
        <v>307</v>
      </c>
      <c r="E30" s="567"/>
      <c r="F30" s="567"/>
      <c r="G30" s="153">
        <f>F6</f>
        <v>0</v>
      </c>
      <c r="H30" s="144"/>
      <c r="I30" s="144"/>
      <c r="J30" s="144"/>
      <c r="K30" s="144"/>
      <c r="L30" s="143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</row>
    <row r="31" spans="2:254" s="145" customFormat="1" x14ac:dyDescent="0.25">
      <c r="B31" s="144"/>
      <c r="C31" s="144"/>
      <c r="D31" s="568" t="s">
        <v>308</v>
      </c>
      <c r="E31" s="569"/>
      <c r="F31" s="570"/>
      <c r="G31" s="196" t="e">
        <f>G28*G30</f>
        <v>#DIV/0!</v>
      </c>
      <c r="H31" s="144"/>
      <c r="I31" s="144"/>
      <c r="J31" s="144"/>
      <c r="K31" s="144"/>
      <c r="L31" s="143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</row>
    <row r="32" spans="2:254" s="145" customFormat="1" x14ac:dyDescent="0.25">
      <c r="B32" s="144"/>
      <c r="C32" s="144"/>
      <c r="D32" s="568" t="s">
        <v>309</v>
      </c>
      <c r="E32" s="569"/>
      <c r="F32" s="570"/>
      <c r="G32" s="196" t="e">
        <f>G30+G31</f>
        <v>#DIV/0!</v>
      </c>
      <c r="H32" s="143"/>
      <c r="I32" s="144"/>
      <c r="J32" s="144"/>
      <c r="K32" s="144"/>
      <c r="L32" s="143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</row>
    <row r="33" spans="2:247" s="145" customFormat="1" ht="16.5" customHeight="1" x14ac:dyDescent="0.2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3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</row>
    <row r="34" spans="2:247" s="145" customFormat="1" x14ac:dyDescent="0.25">
      <c r="B34" s="144"/>
      <c r="C34" s="144"/>
      <c r="D34" s="567" t="s">
        <v>325</v>
      </c>
      <c r="E34" s="567"/>
      <c r="F34" s="567"/>
      <c r="G34" s="153">
        <f>F7</f>
        <v>0</v>
      </c>
      <c r="H34" s="144"/>
      <c r="I34" s="144"/>
      <c r="J34" s="144"/>
      <c r="K34" s="144"/>
      <c r="L34" s="143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</row>
    <row r="35" spans="2:247" s="145" customFormat="1" x14ac:dyDescent="0.25">
      <c r="B35" s="144"/>
      <c r="C35" s="144"/>
      <c r="D35" s="568" t="s">
        <v>326</v>
      </c>
      <c r="E35" s="569"/>
      <c r="F35" s="570"/>
      <c r="G35" s="196" t="e">
        <f>G28*G34</f>
        <v>#DIV/0!</v>
      </c>
      <c r="H35" s="144"/>
      <c r="I35" s="144"/>
      <c r="J35" s="144"/>
      <c r="K35" s="144"/>
      <c r="L35" s="143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</row>
    <row r="36" spans="2:247" s="145" customFormat="1" x14ac:dyDescent="0.25">
      <c r="B36" s="144"/>
      <c r="C36" s="144"/>
      <c r="D36" s="568" t="s">
        <v>327</v>
      </c>
      <c r="E36" s="569"/>
      <c r="F36" s="570"/>
      <c r="G36" s="196" t="e">
        <f>G34+G35</f>
        <v>#DIV/0!</v>
      </c>
      <c r="H36" s="144"/>
      <c r="I36" s="144"/>
      <c r="J36" s="144"/>
      <c r="K36" s="144"/>
      <c r="L36" s="143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</row>
    <row r="37" spans="2:247" s="145" customFormat="1" x14ac:dyDescent="0.2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3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</row>
    <row r="38" spans="2:247" s="145" customFormat="1" x14ac:dyDescent="0.25">
      <c r="B38" s="144"/>
      <c r="C38" s="144"/>
      <c r="D38" s="567" t="s">
        <v>328</v>
      </c>
      <c r="E38" s="567"/>
      <c r="F38" s="567"/>
      <c r="G38" s="153">
        <f>F8</f>
        <v>0</v>
      </c>
      <c r="H38" s="144"/>
      <c r="I38" s="144"/>
      <c r="J38" s="144"/>
      <c r="K38" s="144"/>
      <c r="L38" s="143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</row>
    <row r="39" spans="2:247" s="145" customFormat="1" x14ac:dyDescent="0.25">
      <c r="B39" s="144"/>
      <c r="C39" s="144"/>
      <c r="D39" s="568" t="s">
        <v>329</v>
      </c>
      <c r="E39" s="569"/>
      <c r="F39" s="570"/>
      <c r="G39" s="196" t="e">
        <f>G28*G38</f>
        <v>#DIV/0!</v>
      </c>
      <c r="H39" s="144"/>
      <c r="I39" s="144"/>
      <c r="J39" s="144"/>
      <c r="K39" s="144"/>
      <c r="L39" s="143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</row>
    <row r="40" spans="2:247" s="145" customFormat="1" x14ac:dyDescent="0.25">
      <c r="B40" s="144"/>
      <c r="C40" s="144"/>
      <c r="D40" s="568" t="s">
        <v>330</v>
      </c>
      <c r="E40" s="569"/>
      <c r="F40" s="570"/>
      <c r="G40" s="196" t="e">
        <f>G38+G39</f>
        <v>#DIV/0!</v>
      </c>
      <c r="H40" s="144"/>
      <c r="I40" s="144"/>
      <c r="J40" s="144"/>
      <c r="K40" s="144"/>
      <c r="L40" s="143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</row>
    <row r="41" spans="2:247" s="145" customFormat="1" x14ac:dyDescent="0.2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3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</row>
  </sheetData>
  <sheetProtection algorithmName="SHA-512" hashValue="AvFPeBK0u1E5R8RnUnJQJB/A/+uhY1r0JmatYbOGh+Ay7xyN0oU7UD2vSlS3AUL8V58u4vUhTtCeIeJYO73ddw==" saltValue="HnCfqXaMjloHoNzO7gZROQ==" spinCount="100000" sheet="1" objects="1" scenarios="1"/>
  <mergeCells count="28">
    <mergeCell ref="D40:F40"/>
    <mergeCell ref="D34:F34"/>
    <mergeCell ref="D35:F35"/>
    <mergeCell ref="D36:F36"/>
    <mergeCell ref="D38:F38"/>
    <mergeCell ref="D39:F39"/>
    <mergeCell ref="K12:K24"/>
    <mergeCell ref="L4:L5"/>
    <mergeCell ref="B5:F5"/>
    <mergeCell ref="B10:F10"/>
    <mergeCell ref="B3:H3"/>
    <mergeCell ref="I3:J3"/>
    <mergeCell ref="I4:I5"/>
    <mergeCell ref="J4:J5"/>
    <mergeCell ref="K4:K5"/>
    <mergeCell ref="B23:H23"/>
    <mergeCell ref="B24:F24"/>
    <mergeCell ref="J12:J24"/>
    <mergeCell ref="C12:F12"/>
    <mergeCell ref="B19:H19"/>
    <mergeCell ref="B20:H20"/>
    <mergeCell ref="B21:H21"/>
    <mergeCell ref="I12:I23"/>
    <mergeCell ref="B22:H22"/>
    <mergeCell ref="D30:F30"/>
    <mergeCell ref="D31:F31"/>
    <mergeCell ref="D32:F32"/>
    <mergeCell ref="B25:G25"/>
  </mergeCells>
  <printOptions horizontalCentered="1" verticalCentered="1"/>
  <pageMargins left="0.59055118110236227" right="0.39370078740157483" top="0.39370078740157483" bottom="0.59055118110236227" header="0.51181102362204722" footer="0.51181102362204722"/>
  <pageSetup paperSize="9" scale="72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AREAS_E_PRODUTIVIDADE_gabarito</vt:lpstr>
      <vt:lpstr>Mat_Consumo_sob_demanda</vt:lpstr>
      <vt:lpstr>Equipamentos</vt:lpstr>
      <vt:lpstr>Uniforme</vt:lpstr>
      <vt:lpstr>Escala</vt:lpstr>
      <vt:lpstr>Copeira</vt:lpstr>
      <vt:lpstr>Garçom</vt:lpstr>
      <vt:lpstr>Encarregado(a)</vt:lpstr>
      <vt:lpstr>RESUMO_Preços</vt:lpstr>
      <vt:lpstr>Proposta de Preços</vt:lpstr>
      <vt:lpstr>PARTE_2</vt:lpstr>
      <vt:lpstr>Copeira!Area_de_impressao</vt:lpstr>
      <vt:lpstr>'Encarregado(a)'!Area_de_impressao</vt:lpstr>
      <vt:lpstr>Equipamentos!Area_de_impressao</vt:lpstr>
      <vt:lpstr>Garçom!Area_de_impressao</vt:lpstr>
      <vt:lpstr>Mat_Consumo_sob_demanda!Area_de_impressao</vt:lpstr>
      <vt:lpstr>PARTE_2!Area_de_impressao</vt:lpstr>
      <vt:lpstr>RESUMO_Preços!Area_de_impressao</vt:lpstr>
      <vt:lpstr>Equipamentos!Titulos_de_impressao</vt:lpstr>
      <vt:lpstr>Mat_Consumo_sob_demanda!Titulos_de_impressao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e Dan</dc:creator>
  <cp:lastModifiedBy>Rosa Alice Nunes Lima</cp:lastModifiedBy>
  <cp:lastPrinted>2017-10-04T13:41:20Z</cp:lastPrinted>
  <dcterms:created xsi:type="dcterms:W3CDTF">2017-06-27T19:28:23Z</dcterms:created>
  <dcterms:modified xsi:type="dcterms:W3CDTF">2017-11-27T18:17:18Z</dcterms:modified>
</cp:coreProperties>
</file>